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800" activeTab="0"/>
  </bookViews>
  <sheets>
    <sheet name="基本設計" sheetId="1" r:id="rId1"/>
    <sheet name="NACA 4-Disit" sheetId="2" r:id="rId2"/>
    <sheet name="Thickness" sheetId="3" r:id="rId3"/>
    <sheet name="Mean-Line" sheetId="4" r:id="rId4"/>
  </sheets>
  <definedNames>
    <definedName name="_xlnm.Print_Area" localSheetId="3">'Mean-Line'!$A$1:$I$49</definedName>
    <definedName name="_xlnm.Print_Area" localSheetId="1">'NACA 4-Disit'!$A$1:$L$53</definedName>
    <definedName name="_xlnm.Print_Area" localSheetId="2">'Thickness'!$A$1:$H$58</definedName>
    <definedName name="_xlnm.Print_Area" localSheetId="0">'基本設計'!$J$46:$AN$156</definedName>
    <definedName name="_xlnm.Print_Titles" localSheetId="0">'基本設計'!$46:$52</definedName>
  </definedNames>
  <calcPr fullCalcOnLoad="1"/>
</workbook>
</file>

<file path=xl/sharedStrings.xml><?xml version="1.0" encoding="utf-8"?>
<sst xmlns="http://schemas.openxmlformats.org/spreadsheetml/2006/main" count="132" uniqueCount="125">
  <si>
    <t>縦横比</t>
  </si>
  <si>
    <t>後退角</t>
  </si>
  <si>
    <t>総重量</t>
  </si>
  <si>
    <t>翼面荷重</t>
  </si>
  <si>
    <t>テーパー比</t>
  </si>
  <si>
    <t>翼長</t>
  </si>
  <si>
    <t>翼端長</t>
  </si>
  <si>
    <t>翼根長</t>
  </si>
  <si>
    <t>初期設定</t>
  </si>
  <si>
    <t>決定諸元</t>
  </si>
  <si>
    <t>翼型</t>
  </si>
  <si>
    <t>リブ枚数</t>
  </si>
  <si>
    <t>半翼長</t>
  </si>
  <si>
    <t>翼玄長</t>
  </si>
  <si>
    <t>リブ番号</t>
  </si>
  <si>
    <t>翼厚</t>
  </si>
  <si>
    <t>OFFSET</t>
  </si>
  <si>
    <t>平均翼弦</t>
  </si>
  <si>
    <t>番　号</t>
  </si>
  <si>
    <t>リブ間隔</t>
  </si>
  <si>
    <t>プランク厚</t>
  </si>
  <si>
    <t>NACA</t>
  </si>
  <si>
    <t>累加長</t>
  </si>
  <si>
    <t>後退長</t>
  </si>
  <si>
    <t>単位</t>
  </si>
  <si>
    <t>最大翼厚</t>
  </si>
  <si>
    <t>半翼端処理長</t>
  </si>
  <si>
    <t>Ｘ</t>
  </si>
  <si>
    <t>Ｙ</t>
  </si>
  <si>
    <t>No.</t>
  </si>
  <si>
    <t>面積</t>
  </si>
  <si>
    <t>メモ</t>
  </si>
  <si>
    <r>
      <t>dm</t>
    </r>
    <r>
      <rPr>
        <b/>
        <vertAlign val="superscript"/>
        <sz val="12"/>
        <rFont val="ＭＳ ゴシック"/>
        <family val="3"/>
      </rPr>
      <t>2</t>
    </r>
  </si>
  <si>
    <t>°</t>
  </si>
  <si>
    <t>g</t>
  </si>
  <si>
    <t>cm</t>
  </si>
  <si>
    <t>cm</t>
  </si>
  <si>
    <t>cm</t>
  </si>
  <si>
    <t>cm</t>
  </si>
  <si>
    <t>cm</t>
  </si>
  <si>
    <t>n</t>
  </si>
  <si>
    <r>
      <t>g/dm</t>
    </r>
    <r>
      <rPr>
        <b/>
        <vertAlign val="superscript"/>
        <sz val="12"/>
        <rFont val="ＭＳ ゴシック"/>
        <family val="3"/>
      </rPr>
      <t>2</t>
    </r>
  </si>
  <si>
    <t>ｃｍ</t>
  </si>
  <si>
    <t>４桁翼型</t>
  </si>
  <si>
    <t>Leading edge</t>
  </si>
  <si>
    <t>x</t>
  </si>
  <si>
    <t>θ</t>
  </si>
  <si>
    <t>sinθ</t>
  </si>
  <si>
    <t>cosθ</t>
  </si>
  <si>
    <t>Airfoil Thickness</t>
  </si>
  <si>
    <t>係数</t>
  </si>
  <si>
    <t>Max Ordinate</t>
  </si>
  <si>
    <t>at Position</t>
  </si>
  <si>
    <t>Thickness</t>
  </si>
  <si>
    <r>
      <t>r</t>
    </r>
    <r>
      <rPr>
        <b/>
        <i/>
        <vertAlign val="subscript"/>
        <sz val="18"/>
        <rFont val="Times New Roman"/>
        <family val="1"/>
      </rPr>
      <t>t</t>
    </r>
    <r>
      <rPr>
        <b/>
        <i/>
        <sz val="18"/>
        <rFont val="Times New Roman"/>
        <family val="1"/>
      </rPr>
      <t>=</t>
    </r>
  </si>
  <si>
    <t>at</t>
  </si>
  <si>
    <r>
      <t>y</t>
    </r>
    <r>
      <rPr>
        <b/>
        <i/>
        <vertAlign val="subscript"/>
        <sz val="18"/>
        <rFont val="Times New Roman"/>
        <family val="1"/>
      </rPr>
      <t>U</t>
    </r>
    <r>
      <rPr>
        <b/>
        <i/>
        <sz val="18"/>
        <rFont val="Times New Roman"/>
        <family val="1"/>
      </rPr>
      <t>=</t>
    </r>
  </si>
  <si>
    <r>
      <t>y</t>
    </r>
    <r>
      <rPr>
        <b/>
        <i/>
        <vertAlign val="subscript"/>
        <sz val="18"/>
        <rFont val="Times New Roman"/>
        <family val="1"/>
      </rPr>
      <t>L</t>
    </r>
    <r>
      <rPr>
        <b/>
        <i/>
        <sz val="18"/>
        <rFont val="Times New Roman"/>
        <family val="1"/>
      </rPr>
      <t>=</t>
    </r>
  </si>
  <si>
    <r>
      <t>y</t>
    </r>
    <r>
      <rPr>
        <i/>
        <vertAlign val="subscript"/>
        <sz val="16"/>
        <rFont val="Arial"/>
        <family val="2"/>
      </rPr>
      <t>t</t>
    </r>
  </si>
  <si>
    <r>
      <t>y</t>
    </r>
    <r>
      <rPr>
        <i/>
        <vertAlign val="subscript"/>
        <sz val="16"/>
        <rFont val="Arial"/>
        <family val="2"/>
      </rPr>
      <t>c</t>
    </r>
  </si>
  <si>
    <r>
      <t>y</t>
    </r>
    <r>
      <rPr>
        <i/>
        <vertAlign val="subscript"/>
        <sz val="16"/>
        <rFont val="Arial"/>
        <family val="2"/>
      </rPr>
      <t>t</t>
    </r>
    <r>
      <rPr>
        <i/>
        <sz val="16"/>
        <rFont val="Arial"/>
        <family val="2"/>
      </rPr>
      <t>sinθ</t>
    </r>
  </si>
  <si>
    <r>
      <t>y</t>
    </r>
    <r>
      <rPr>
        <i/>
        <vertAlign val="subscript"/>
        <sz val="16"/>
        <rFont val="Arial"/>
        <family val="2"/>
      </rPr>
      <t>t</t>
    </r>
    <r>
      <rPr>
        <i/>
        <sz val="16"/>
        <rFont val="Arial"/>
        <family val="2"/>
      </rPr>
      <t>cosθ</t>
    </r>
  </si>
  <si>
    <r>
      <t>x</t>
    </r>
    <r>
      <rPr>
        <i/>
        <vertAlign val="subscript"/>
        <sz val="16"/>
        <rFont val="Arial"/>
        <family val="2"/>
      </rPr>
      <t>U</t>
    </r>
  </si>
  <si>
    <r>
      <t>y</t>
    </r>
    <r>
      <rPr>
        <i/>
        <vertAlign val="subscript"/>
        <sz val="16"/>
        <rFont val="Arial"/>
        <family val="2"/>
      </rPr>
      <t>U</t>
    </r>
  </si>
  <si>
    <r>
      <t>x</t>
    </r>
    <r>
      <rPr>
        <i/>
        <vertAlign val="subscript"/>
        <sz val="16"/>
        <rFont val="Arial"/>
        <family val="2"/>
      </rPr>
      <t>L</t>
    </r>
  </si>
  <si>
    <r>
      <t>y</t>
    </r>
    <r>
      <rPr>
        <i/>
        <vertAlign val="subscript"/>
        <sz val="16"/>
        <rFont val="Arial"/>
        <family val="2"/>
      </rPr>
      <t>L</t>
    </r>
  </si>
  <si>
    <t>t</t>
  </si>
  <si>
    <r>
      <t>r</t>
    </r>
    <r>
      <rPr>
        <i/>
        <vertAlign val="subscript"/>
        <sz val="18"/>
        <rFont val="Times New Roman"/>
        <family val="1"/>
      </rPr>
      <t>t</t>
    </r>
  </si>
  <si>
    <r>
      <t>a</t>
    </r>
    <r>
      <rPr>
        <b/>
        <i/>
        <vertAlign val="subscript"/>
        <sz val="16"/>
        <rFont val="Times New Roman"/>
        <family val="1"/>
      </rPr>
      <t>0</t>
    </r>
  </si>
  <si>
    <r>
      <t>a</t>
    </r>
    <r>
      <rPr>
        <b/>
        <i/>
        <vertAlign val="subscript"/>
        <sz val="16"/>
        <rFont val="Times New Roman"/>
        <family val="1"/>
      </rPr>
      <t>1</t>
    </r>
  </si>
  <si>
    <r>
      <t>a</t>
    </r>
    <r>
      <rPr>
        <b/>
        <i/>
        <vertAlign val="subscript"/>
        <sz val="16"/>
        <rFont val="Times New Roman"/>
        <family val="1"/>
      </rPr>
      <t>2</t>
    </r>
  </si>
  <si>
    <r>
      <t>a</t>
    </r>
    <r>
      <rPr>
        <b/>
        <i/>
        <vertAlign val="subscript"/>
        <sz val="16"/>
        <rFont val="Times New Roman"/>
        <family val="1"/>
      </rPr>
      <t>3</t>
    </r>
  </si>
  <si>
    <r>
      <t>a</t>
    </r>
    <r>
      <rPr>
        <b/>
        <i/>
        <vertAlign val="subscript"/>
        <sz val="16"/>
        <rFont val="Times New Roman"/>
        <family val="1"/>
      </rPr>
      <t>4</t>
    </r>
  </si>
  <si>
    <t>x</t>
  </si>
  <si>
    <r>
      <t>y</t>
    </r>
    <r>
      <rPr>
        <b/>
        <i/>
        <vertAlign val="subscript"/>
        <sz val="18"/>
        <rFont val="Times New Roman"/>
        <family val="1"/>
      </rPr>
      <t>u</t>
    </r>
  </si>
  <si>
    <r>
      <t>y</t>
    </r>
    <r>
      <rPr>
        <b/>
        <i/>
        <vertAlign val="subscript"/>
        <sz val="18"/>
        <rFont val="Times New Roman"/>
        <family val="1"/>
      </rPr>
      <t>l</t>
    </r>
  </si>
  <si>
    <t>m</t>
  </si>
  <si>
    <t>p</t>
  </si>
  <si>
    <t>m:Maximum Camber</t>
  </si>
  <si>
    <t>p:Position of Maximum Camber</t>
  </si>
  <si>
    <t>Forward</t>
  </si>
  <si>
    <t>，</t>
  </si>
  <si>
    <t>Aft</t>
  </si>
  <si>
    <r>
      <t>m/p</t>
    </r>
    <r>
      <rPr>
        <b/>
        <i/>
        <vertAlign val="superscript"/>
        <sz val="18"/>
        <rFont val="Times New Roman"/>
        <family val="1"/>
      </rPr>
      <t>2</t>
    </r>
  </si>
  <si>
    <r>
      <t>y</t>
    </r>
    <r>
      <rPr>
        <b/>
        <i/>
        <vertAlign val="subscript"/>
        <sz val="18"/>
        <rFont val="Times New Roman"/>
        <family val="1"/>
      </rPr>
      <t>c</t>
    </r>
  </si>
  <si>
    <t>Fwd</t>
  </si>
  <si>
    <t>θ</t>
  </si>
  <si>
    <t>tanθ</t>
  </si>
  <si>
    <t>2p</t>
  </si>
  <si>
    <r>
      <t>m/(1-p)</t>
    </r>
    <r>
      <rPr>
        <b/>
        <i/>
        <vertAlign val="superscript"/>
        <sz val="18"/>
        <rFont val="Times New Roman"/>
        <family val="1"/>
      </rPr>
      <t>2</t>
    </r>
  </si>
  <si>
    <t>(1-2p)</t>
  </si>
  <si>
    <t>2m/p</t>
  </si>
  <si>
    <r>
      <t>m/2p</t>
    </r>
    <r>
      <rPr>
        <vertAlign val="superscript"/>
        <sz val="18"/>
        <rFont val="Times New Roman"/>
        <family val="1"/>
      </rPr>
      <t>2</t>
    </r>
  </si>
  <si>
    <t>リブ厚</t>
  </si>
  <si>
    <t>P-1:プランク厚込、P-2:プランク厚除</t>
  </si>
  <si>
    <t>エンジン出力</t>
  </si>
  <si>
    <t>Ps</t>
  </si>
  <si>
    <t>馬力荷重</t>
  </si>
  <si>
    <t>kg/Ps</t>
  </si>
  <si>
    <t>主翼諸元</t>
  </si>
  <si>
    <t>翼　端
処　理</t>
  </si>
  <si>
    <t>翼厚の設定　　　　　⇒</t>
  </si>
  <si>
    <r>
      <t>翼型の設定</t>
    </r>
    <r>
      <rPr>
        <b/>
        <sz val="10"/>
        <rFont val="ＭＳ ゴシック"/>
        <family val="3"/>
      </rPr>
      <t>(H18セルに赤字で翼型番号を表示)</t>
    </r>
  </si>
  <si>
    <t>設計諸元計算書</t>
  </si>
  <si>
    <t>主翼基本設計
リブ断面座標及びリブ組表</t>
  </si>
  <si>
    <t>曲率(キャンバ)の設定⇒</t>
  </si>
  <si>
    <t>曲率最大位置の設定　⇒</t>
  </si>
  <si>
    <t>説　　明</t>
  </si>
  <si>
    <t>ＮＡＣＡ</t>
  </si>
  <si>
    <t>諸 元 項 目</t>
  </si>
  <si>
    <t>Ver.3.32
Goodone Model Aircrafts
（C)1998,2004,2007,2008.</t>
  </si>
  <si>
    <t xml:space="preserve">Programed by NARITA R.  ©1998, 2004, 2007, 2008.  </t>
  </si>
  <si>
    <t>２．基本的に黄色のセルが入力セルです。翼型の設定には、
　　[H23]～[H25]セルのスクロール・バーを使用します。</t>
  </si>
  <si>
    <t>３．[CAD Data]ボタンを押すとJW-CAD用の座標ファイルが
　　本ファイルの置場所の[DATA]フォルダに出力されます。</t>
  </si>
  <si>
    <t>４．４桁の数値は、翼弦長に対する比率(％)です。　曲率
　　最大位置だけは、実際の％の十位の数値で表示します。</t>
  </si>
  <si>
    <t>５．主翼のプランク材の厚さは[P49]セルで指定します。
　　また、リブの厚さは[AF46]セルで指定します。</t>
  </si>
  <si>
    <t>６．曲率(キャンバー)を０％とすると、完全対称翼型にな
　　ります。このとき当然曲率最大位置も０％となります。</t>
  </si>
  <si>
    <t>７．作成可能な翼型は、ＮＡＣＡ４字系列翼型のみです。
８．リブ断面座標及びリブ組表がＡ４用紙に印刷できます。</t>
  </si>
  <si>
    <t>９．印刷はA4用紙２頁となります。１頁目はプランク材を
　　含めた座標で、２頁目はリブのみの座標です。</t>
  </si>
  <si>
    <t>10．実機スピット・ファイァーの翼型は、翼根がNACA2213、
　　翼端がNACA2206のプログレッシブ翼となっています。</t>
  </si>
  <si>
    <t>11．非常に残念ですが、本ファイルでは、プログレッシブ
　　翼の計算はできません。</t>
  </si>
  <si>
    <t>12．ＮＡＣＡ-４字系列の翼型は、速度的には不利ですが、
　　穏やかな失速特性で、ＲＣ機むきの翼型です。</t>
  </si>
  <si>
    <t>13．本シート以外のシートは、翼型の計算書です。
　　興味のある方はご覧ください。</t>
  </si>
  <si>
    <t>14．翼型座標の計算手順は、①キャンバー平均ラインの計
　　算、②翼厚分布の計算、③キャンバーラインと翼厚分
　　布の合成　となります。</t>
  </si>
  <si>
    <t>１．本ファイルで作成する翼型は、「NACA レポート824」に
　　記載の方法で忠実に計算されます。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</si>
</sst>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0"/>
    <numFmt numFmtId="179" formatCode="0.00000"/>
    <numFmt numFmtId="180" formatCode="0.0_ "/>
    <numFmt numFmtId="181" formatCode="0.00_ "/>
    <numFmt numFmtId="182" formatCode="0.0000_ "/>
    <numFmt numFmtId="183" formatCode="0.00000_ "/>
    <numFmt numFmtId="184" formatCode="#,##0.0;[Red]\-#,##0.0"/>
    <numFmt numFmtId="185" formatCode="#,##0.000;[Red]\-#,##0.000"/>
    <numFmt numFmtId="186" formatCode="&quot;片&quot;&quot;翼&quot;&quot;分&quot;0"/>
    <numFmt numFmtId="187" formatCode="0\ &quot;枚&quot;"/>
    <numFmt numFmtId="188" formatCode="&quot;第&quot;\ 0&quot;リ&quot;&quot;ブ&quot;"/>
    <numFmt numFmtId="189" formatCode="0.000_);[Red]\(0.000\)"/>
    <numFmt numFmtId="190" formatCode="0.0&quot;°&quot;"/>
    <numFmt numFmtId="191" formatCode="0.00;0.00;0.00"/>
    <numFmt numFmtId="192" formatCode="&quot;第&quot;\ 0\ &quot;列&quot;"/>
    <numFmt numFmtId="193" formatCode="0.0\x\2"/>
    <numFmt numFmtId="194" formatCode="#,##0.000000;[Red]\-#,##0.000000"/>
    <numFmt numFmtId="195" formatCode="0.000000_ "/>
    <numFmt numFmtId="196" formatCode="#,##0.000000_ ;[Red]\-#,##0.000000\ "/>
    <numFmt numFmtId="197" formatCode="#,##0.00_ ;[Red]\-#,##0.00\ "/>
    <numFmt numFmtId="198" formatCode="00"/>
    <numFmt numFmtId="199" formatCode="0_%\ "/>
    <numFmt numFmtId="200" formatCode="0&quot;_% &quot;"/>
    <numFmt numFmtId="201" formatCode="0&quot;% &quot;"/>
    <numFmt numFmtId="202" formatCode="##&quot;% &quot;"/>
    <numFmt numFmtId="203" formatCode="#0&quot;% &quot;"/>
    <numFmt numFmtId="204" formatCode="#0&quot;% &quot;;&quot;0 %&quot;"/>
    <numFmt numFmtId="205" formatCode="#0&quot;% &quot;;;&quot;0 %&quot;"/>
    <numFmt numFmtId="206" formatCode="#0&quot;% &quot;;;&quot;0%&quot;"/>
  </numFmts>
  <fonts count="52">
    <font>
      <sz val="10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23.5"/>
      <name val="ＭＳ ゴシック"/>
      <family val="3"/>
    </font>
    <font>
      <sz val="25.25"/>
      <name val="ＭＳ ゴシック"/>
      <family val="3"/>
    </font>
    <font>
      <b/>
      <sz val="12"/>
      <name val="ＭＳ ゴシック"/>
      <family val="3"/>
    </font>
    <font>
      <b/>
      <i/>
      <sz val="10"/>
      <name val="ＭＳ ゴシック"/>
      <family val="3"/>
    </font>
    <font>
      <b/>
      <sz val="16"/>
      <name val="ＭＳ ゴシック"/>
      <family val="3"/>
    </font>
    <font>
      <b/>
      <sz val="11"/>
      <name val="Arial Narrow"/>
      <family val="2"/>
    </font>
    <font>
      <b/>
      <vertAlign val="superscript"/>
      <sz val="12"/>
      <name val="ＭＳ ゴシック"/>
      <family val="3"/>
    </font>
    <font>
      <sz val="11"/>
      <name val="ＭＳ ゴシック"/>
      <family val="3"/>
    </font>
    <font>
      <b/>
      <sz val="9"/>
      <color indexed="9"/>
      <name val="ＭＳ ゴシック"/>
      <family val="3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sz val="18"/>
      <name val="Times New Roman"/>
      <family val="1"/>
    </font>
    <font>
      <b/>
      <i/>
      <vertAlign val="subscript"/>
      <sz val="18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b/>
      <i/>
      <sz val="16"/>
      <name val="Arial"/>
      <family val="2"/>
    </font>
    <font>
      <i/>
      <vertAlign val="subscript"/>
      <sz val="16"/>
      <name val="Arial"/>
      <family val="2"/>
    </font>
    <font>
      <i/>
      <sz val="16"/>
      <name val="Arial"/>
      <family val="2"/>
    </font>
    <font>
      <sz val="18"/>
      <name val="Times New Roman"/>
      <family val="1"/>
    </font>
    <font>
      <i/>
      <sz val="10"/>
      <name val="ＭＳ ゴシック"/>
      <family val="3"/>
    </font>
    <font>
      <sz val="14"/>
      <name val="Arial Black"/>
      <family val="2"/>
    </font>
    <font>
      <b/>
      <i/>
      <sz val="16"/>
      <name val="Times New Roman"/>
      <family val="1"/>
    </font>
    <font>
      <i/>
      <vertAlign val="subscript"/>
      <sz val="18"/>
      <name val="Times New Roman"/>
      <family val="1"/>
    </font>
    <font>
      <i/>
      <sz val="18"/>
      <name val="Times New Roman"/>
      <family val="1"/>
    </font>
    <font>
      <b/>
      <i/>
      <sz val="16"/>
      <name val="ＭＳ ゴシック"/>
      <family val="3"/>
    </font>
    <font>
      <b/>
      <i/>
      <vertAlign val="subscript"/>
      <sz val="16"/>
      <name val="Times New Roman"/>
      <family val="1"/>
    </font>
    <font>
      <i/>
      <sz val="11"/>
      <name val="ＭＳ ゴシック"/>
      <family val="3"/>
    </font>
    <font>
      <b/>
      <i/>
      <sz val="18"/>
      <name val="Arial"/>
      <family val="2"/>
    </font>
    <font>
      <b/>
      <i/>
      <vertAlign val="superscript"/>
      <sz val="18"/>
      <name val="Times New Roman"/>
      <family val="1"/>
    </font>
    <font>
      <vertAlign val="superscript"/>
      <sz val="18"/>
      <name val="Times New Roman"/>
      <family val="1"/>
    </font>
    <font>
      <sz val="8.75"/>
      <name val="ＭＳ ゴシック"/>
      <family val="3"/>
    </font>
    <font>
      <sz val="8.5"/>
      <name val="ＭＳ ゴシック"/>
      <family val="3"/>
    </font>
    <font>
      <sz val="17"/>
      <name val="ＭＳ ゴシック"/>
      <family val="3"/>
    </font>
    <font>
      <b/>
      <sz val="10.75"/>
      <name val="ＭＳ ゴシック"/>
      <family val="3"/>
    </font>
    <font>
      <sz val="5.25"/>
      <name val="ＭＳ ゴシック"/>
      <family val="3"/>
    </font>
    <font>
      <sz val="4"/>
      <name val="ＭＳ ゴシック"/>
      <family val="3"/>
    </font>
    <font>
      <sz val="24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10"/>
      <name val="ＭＳ ゴシック"/>
      <family val="3"/>
    </font>
    <font>
      <sz val="10"/>
      <color indexed="9"/>
      <name val="ＭＳ ゴシック"/>
      <family val="3"/>
    </font>
    <font>
      <b/>
      <sz val="14"/>
      <color indexed="10"/>
      <name val="ＭＳ ゴシック"/>
      <family val="3"/>
    </font>
    <font>
      <i/>
      <sz val="18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3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double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3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176" fontId="0" fillId="0" borderId="5" xfId="0" applyNumberFormat="1" applyBorder="1" applyAlignment="1" applyProtection="1">
      <alignment horizontal="center" vertical="center"/>
      <protection hidden="1"/>
    </xf>
    <xf numFmtId="2" fontId="0" fillId="0" borderId="6" xfId="0" applyNumberForma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center" vertical="center"/>
      <protection hidden="1"/>
    </xf>
    <xf numFmtId="176" fontId="0" fillId="0" borderId="9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177" fontId="0" fillId="0" borderId="11" xfId="0" applyNumberFormat="1" applyBorder="1" applyAlignment="1" applyProtection="1">
      <alignment/>
      <protection hidden="1"/>
    </xf>
    <xf numFmtId="177" fontId="0" fillId="0" borderId="12" xfId="0" applyNumberFormat="1" applyBorder="1" applyAlignment="1" applyProtection="1">
      <alignment/>
      <protection hidden="1"/>
    </xf>
    <xf numFmtId="177" fontId="0" fillId="0" borderId="13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77" fontId="0" fillId="0" borderId="5" xfId="0" applyNumberFormat="1" applyBorder="1" applyAlignment="1" applyProtection="1">
      <alignment/>
      <protection hidden="1"/>
    </xf>
    <xf numFmtId="177" fontId="0" fillId="0" borderId="6" xfId="0" applyNumberFormat="1" applyBorder="1" applyAlignment="1" applyProtection="1">
      <alignment/>
      <protection hidden="1"/>
    </xf>
    <xf numFmtId="177" fontId="0" fillId="0" borderId="7" xfId="0" applyNumberFormat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177" fontId="0" fillId="2" borderId="5" xfId="0" applyNumberFormat="1" applyFill="1" applyBorder="1" applyAlignment="1" applyProtection="1">
      <alignment/>
      <protection hidden="1"/>
    </xf>
    <xf numFmtId="177" fontId="0" fillId="2" borderId="6" xfId="0" applyNumberFormat="1" applyFill="1" applyBorder="1" applyAlignment="1" applyProtection="1">
      <alignment/>
      <protection hidden="1"/>
    </xf>
    <xf numFmtId="177" fontId="0" fillId="2" borderId="7" xfId="0" applyNumberFormat="1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177" fontId="0" fillId="3" borderId="5" xfId="0" applyNumberFormat="1" applyFill="1" applyBorder="1" applyAlignment="1" applyProtection="1">
      <alignment/>
      <protection hidden="1"/>
    </xf>
    <xf numFmtId="177" fontId="0" fillId="3" borderId="6" xfId="0" applyNumberFormat="1" applyFill="1" applyBorder="1" applyAlignment="1" applyProtection="1">
      <alignment/>
      <protection hidden="1"/>
    </xf>
    <xf numFmtId="177" fontId="0" fillId="3" borderId="7" xfId="0" applyNumberForma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7" fontId="0" fillId="0" borderId="16" xfId="0" applyNumberFormat="1" applyBorder="1" applyAlignment="1" applyProtection="1">
      <alignment/>
      <protection hidden="1"/>
    </xf>
    <xf numFmtId="177" fontId="0" fillId="0" borderId="8" xfId="0" applyNumberFormat="1" applyBorder="1" applyAlignment="1" applyProtection="1">
      <alignment/>
      <protection hidden="1"/>
    </xf>
    <xf numFmtId="177" fontId="0" fillId="0" borderId="9" xfId="0" applyNumberFormat="1" applyBorder="1" applyAlignment="1" applyProtection="1">
      <alignment/>
      <protection hidden="1"/>
    </xf>
    <xf numFmtId="2" fontId="6" fillId="4" borderId="1" xfId="0" applyNumberFormat="1" applyFont="1" applyFill="1" applyBorder="1" applyAlignment="1" applyProtection="1">
      <alignment/>
      <protection locked="0"/>
    </xf>
    <xf numFmtId="0" fontId="6" fillId="4" borderId="1" xfId="0" applyFont="1" applyFill="1" applyBorder="1" applyAlignment="1" applyProtection="1">
      <alignment/>
      <protection locked="0"/>
    </xf>
    <xf numFmtId="176" fontId="5" fillId="4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177" fontId="0" fillId="0" borderId="0" xfId="0" applyNumberFormat="1" applyAlignment="1" applyProtection="1">
      <alignment/>
      <protection hidden="1"/>
    </xf>
    <xf numFmtId="177" fontId="6" fillId="4" borderId="1" xfId="0" applyNumberFormat="1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hidden="1"/>
    </xf>
    <xf numFmtId="192" fontId="0" fillId="0" borderId="0" xfId="0" applyNumberFormat="1" applyAlignment="1" applyProtection="1">
      <alignment/>
      <protection hidden="1"/>
    </xf>
    <xf numFmtId="184" fontId="0" fillId="0" borderId="0" xfId="16" applyNumberFormat="1" applyAlignment="1" applyProtection="1">
      <alignment/>
      <protection hidden="1"/>
    </xf>
    <xf numFmtId="185" fontId="0" fillId="0" borderId="0" xfId="16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2" fontId="5" fillId="5" borderId="19" xfId="0" applyNumberFormat="1" applyFont="1" applyFill="1" applyBorder="1" applyAlignment="1" applyProtection="1">
      <alignment/>
      <protection hidden="1"/>
    </xf>
    <xf numFmtId="2" fontId="5" fillId="5" borderId="20" xfId="0" applyNumberFormat="1" applyFont="1" applyFill="1" applyBorder="1" applyAlignment="1" applyProtection="1">
      <alignment/>
      <protection hidden="1"/>
    </xf>
    <xf numFmtId="185" fontId="5" fillId="5" borderId="20" xfId="16" applyNumberFormat="1" applyFont="1" applyFill="1" applyBorder="1" applyAlignment="1" applyProtection="1">
      <alignment/>
      <protection hidden="1"/>
    </xf>
    <xf numFmtId="176" fontId="5" fillId="5" borderId="20" xfId="0" applyNumberFormat="1" applyFont="1" applyFill="1" applyBorder="1" applyAlignment="1" applyProtection="1">
      <alignment/>
      <protection hidden="1"/>
    </xf>
    <xf numFmtId="38" fontId="5" fillId="5" borderId="20" xfId="16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185" fontId="7" fillId="0" borderId="0" xfId="16" applyNumberFormat="1" applyFont="1" applyFill="1" applyBorder="1" applyAlignment="1" applyProtection="1">
      <alignment/>
      <protection hidden="1"/>
    </xf>
    <xf numFmtId="0" fontId="0" fillId="3" borderId="21" xfId="0" applyFill="1" applyBorder="1" applyAlignment="1" applyProtection="1">
      <alignment/>
      <protection hidden="1"/>
    </xf>
    <xf numFmtId="177" fontId="0" fillId="3" borderId="22" xfId="0" applyNumberFormat="1" applyFill="1" applyBorder="1" applyAlignment="1" applyProtection="1">
      <alignment/>
      <protection hidden="1"/>
    </xf>
    <xf numFmtId="177" fontId="0" fillId="3" borderId="23" xfId="0" applyNumberFormat="1" applyFill="1" applyBorder="1" applyAlignment="1" applyProtection="1">
      <alignment/>
      <protection hidden="1"/>
    </xf>
    <xf numFmtId="177" fontId="0" fillId="3" borderId="24" xfId="0" applyNumberForma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177" fontId="0" fillId="3" borderId="11" xfId="0" applyNumberFormat="1" applyFill="1" applyBorder="1" applyAlignment="1" applyProtection="1">
      <alignment/>
      <protection hidden="1"/>
    </xf>
    <xf numFmtId="177" fontId="0" fillId="3" borderId="12" xfId="0" applyNumberFormat="1" applyFill="1" applyBorder="1" applyAlignment="1" applyProtection="1">
      <alignment/>
      <protection hidden="1"/>
    </xf>
    <xf numFmtId="177" fontId="0" fillId="3" borderId="13" xfId="0" applyNumberFormat="1" applyFill="1" applyBorder="1" applyAlignment="1" applyProtection="1">
      <alignment/>
      <protection hidden="1"/>
    </xf>
    <xf numFmtId="177" fontId="4" fillId="4" borderId="25" xfId="0" applyNumberFormat="1" applyFont="1" applyFill="1" applyBorder="1" applyAlignment="1" applyProtection="1">
      <alignment vertical="center"/>
      <protection hidden="1"/>
    </xf>
    <xf numFmtId="2" fontId="4" fillId="4" borderId="26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" xfId="0" applyFont="1" applyBorder="1" applyAlignment="1" applyProtection="1">
      <alignment horizontal="distributed"/>
      <protection hidden="1"/>
    </xf>
    <xf numFmtId="0" fontId="12" fillId="0" borderId="1" xfId="0" applyFont="1" applyBorder="1" applyAlignment="1" applyProtection="1">
      <alignment horizontal="center" shrinkToFit="1"/>
      <protection hidden="1"/>
    </xf>
    <xf numFmtId="184" fontId="5" fillId="5" borderId="20" xfId="16" applyNumberFormat="1" applyFont="1" applyFill="1" applyBorder="1" applyAlignment="1" applyProtection="1">
      <alignment/>
      <protection hidden="1"/>
    </xf>
    <xf numFmtId="176" fontId="7" fillId="5" borderId="5" xfId="0" applyNumberFormat="1" applyFont="1" applyFill="1" applyBorder="1" applyAlignment="1" applyProtection="1">
      <alignment horizontal="center" vertical="center"/>
      <protection hidden="1"/>
    </xf>
    <xf numFmtId="176" fontId="0" fillId="5" borderId="6" xfId="0" applyNumberFormat="1" applyFill="1" applyBorder="1" applyAlignment="1" applyProtection="1">
      <alignment horizontal="center" vertical="center"/>
      <protection hidden="1"/>
    </xf>
    <xf numFmtId="176" fontId="0" fillId="5" borderId="16" xfId="0" applyNumberFormat="1" applyFill="1" applyBorder="1" applyAlignment="1" applyProtection="1">
      <alignment horizontal="center" vertical="center"/>
      <protection hidden="1"/>
    </xf>
    <xf numFmtId="176" fontId="0" fillId="5" borderId="8" xfId="0" applyNumberFormat="1" applyFill="1" applyBorder="1" applyAlignment="1" applyProtection="1">
      <alignment horizontal="center" vertical="center"/>
      <protection hidden="1"/>
    </xf>
    <xf numFmtId="177" fontId="0" fillId="5" borderId="11" xfId="0" applyNumberFormat="1" applyFill="1" applyBorder="1" applyAlignment="1" applyProtection="1">
      <alignment/>
      <protection hidden="1"/>
    </xf>
    <xf numFmtId="177" fontId="0" fillId="5" borderId="12" xfId="0" applyNumberFormat="1" applyFill="1" applyBorder="1" applyAlignment="1" applyProtection="1">
      <alignment/>
      <protection hidden="1"/>
    </xf>
    <xf numFmtId="177" fontId="0" fillId="5" borderId="5" xfId="0" applyNumberFormat="1" applyFill="1" applyBorder="1" applyAlignment="1" applyProtection="1">
      <alignment/>
      <protection hidden="1"/>
    </xf>
    <xf numFmtId="177" fontId="0" fillId="5" borderId="6" xfId="0" applyNumberFormat="1" applyFill="1" applyBorder="1" applyAlignment="1" applyProtection="1">
      <alignment/>
      <protection hidden="1"/>
    </xf>
    <xf numFmtId="177" fontId="0" fillId="5" borderId="22" xfId="0" applyNumberFormat="1" applyFill="1" applyBorder="1" applyAlignment="1" applyProtection="1">
      <alignment/>
      <protection hidden="1"/>
    </xf>
    <xf numFmtId="177" fontId="0" fillId="5" borderId="23" xfId="0" applyNumberFormat="1" applyFill="1" applyBorder="1" applyAlignment="1" applyProtection="1">
      <alignment/>
      <protection hidden="1"/>
    </xf>
    <xf numFmtId="177" fontId="0" fillId="5" borderId="16" xfId="0" applyNumberFormat="1" applyFill="1" applyBorder="1" applyAlignment="1" applyProtection="1">
      <alignment/>
      <protection hidden="1"/>
    </xf>
    <xf numFmtId="177" fontId="0" fillId="5" borderId="8" xfId="0" applyNumberFormat="1" applyFill="1" applyBorder="1" applyAlignment="1" applyProtection="1">
      <alignment/>
      <protection hidden="1"/>
    </xf>
    <xf numFmtId="184" fontId="0" fillId="0" borderId="0" xfId="0" applyNumberFormat="1" applyAlignment="1" applyProtection="1">
      <alignment/>
      <protection hidden="1"/>
    </xf>
    <xf numFmtId="185" fontId="0" fillId="0" borderId="0" xfId="0" applyNumberFormat="1" applyAlignment="1" applyProtection="1">
      <alignment/>
      <protection hidden="1"/>
    </xf>
    <xf numFmtId="0" fontId="0" fillId="0" borderId="0" xfId="20" applyFont="1" applyProtection="1">
      <alignment vertical="center"/>
      <protection hidden="1"/>
    </xf>
    <xf numFmtId="0" fontId="19" fillId="0" borderId="0" xfId="20" applyFont="1" applyAlignment="1" applyProtection="1">
      <alignment horizontal="center" vertical="center" shrinkToFit="1"/>
      <protection hidden="1"/>
    </xf>
    <xf numFmtId="0" fontId="17" fillId="0" borderId="0" xfId="20" applyProtection="1">
      <alignment vertical="center"/>
      <protection hidden="1"/>
    </xf>
    <xf numFmtId="10" fontId="20" fillId="0" borderId="0" xfId="15" applyNumberFormat="1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right" vertical="center"/>
      <protection hidden="1"/>
    </xf>
    <xf numFmtId="0" fontId="23" fillId="0" borderId="0" xfId="20" applyFont="1" applyAlignment="1" applyProtection="1">
      <alignment horizontal="right"/>
      <protection hidden="1"/>
    </xf>
    <xf numFmtId="0" fontId="23" fillId="0" borderId="0" xfId="20" applyFont="1" applyAlignment="1" applyProtection="1">
      <alignment/>
      <protection hidden="1"/>
    </xf>
    <xf numFmtId="183" fontId="24" fillId="0" borderId="0" xfId="20" applyNumberFormat="1" applyFont="1" applyAlignment="1" applyProtection="1">
      <alignment/>
      <protection hidden="1"/>
    </xf>
    <xf numFmtId="183" fontId="24" fillId="0" borderId="0" xfId="20" applyNumberFormat="1" applyFont="1" applyAlignment="1" applyProtection="1">
      <alignment horizontal="left"/>
      <protection hidden="1"/>
    </xf>
    <xf numFmtId="183" fontId="24" fillId="0" borderId="0" xfId="20" applyNumberFormat="1" applyFont="1" applyAlignment="1" applyProtection="1">
      <alignment horizontal="right"/>
      <protection hidden="1"/>
    </xf>
    <xf numFmtId="0" fontId="25" fillId="0" borderId="27" xfId="20" applyFont="1" applyBorder="1" applyAlignment="1" applyProtection="1">
      <alignment horizontal="center" vertical="center"/>
      <protection hidden="1"/>
    </xf>
    <xf numFmtId="0" fontId="27" fillId="0" borderId="28" xfId="20" applyFont="1" applyBorder="1" applyAlignment="1" applyProtection="1">
      <alignment horizontal="center" vertical="center"/>
      <protection hidden="1"/>
    </xf>
    <xf numFmtId="0" fontId="27" fillId="0" borderId="29" xfId="20" applyFont="1" applyBorder="1" applyAlignment="1" applyProtection="1">
      <alignment horizontal="center" vertical="center"/>
      <protection hidden="1"/>
    </xf>
    <xf numFmtId="0" fontId="27" fillId="0" borderId="27" xfId="20" applyFont="1" applyBorder="1" applyAlignment="1" applyProtection="1">
      <alignment horizontal="center" vertical="center"/>
      <protection hidden="1"/>
    </xf>
    <xf numFmtId="0" fontId="28" fillId="0" borderId="0" xfId="20" applyFont="1" applyAlignment="1" applyProtection="1">
      <alignment horizontal="center" vertical="center"/>
      <protection hidden="1"/>
    </xf>
    <xf numFmtId="183" fontId="29" fillId="0" borderId="30" xfId="20" applyNumberFormat="1" applyFont="1" applyBorder="1" applyProtection="1">
      <alignment vertical="center"/>
      <protection hidden="1"/>
    </xf>
    <xf numFmtId="183" fontId="29" fillId="0" borderId="31" xfId="20" applyNumberFormat="1" applyFont="1" applyBorder="1" applyProtection="1">
      <alignment vertical="center"/>
      <protection hidden="1"/>
    </xf>
    <xf numFmtId="178" fontId="29" fillId="0" borderId="32" xfId="20" applyNumberFormat="1" applyFont="1" applyBorder="1" applyProtection="1">
      <alignment vertical="center"/>
      <protection hidden="1"/>
    </xf>
    <xf numFmtId="179" fontId="29" fillId="0" borderId="30" xfId="20" applyNumberFormat="1" applyFont="1" applyBorder="1" applyProtection="1">
      <alignment vertical="center"/>
      <protection hidden="1"/>
    </xf>
    <xf numFmtId="178" fontId="29" fillId="0" borderId="30" xfId="20" applyNumberFormat="1" applyFont="1" applyBorder="1" applyProtection="1">
      <alignment vertical="center"/>
      <protection hidden="1"/>
    </xf>
    <xf numFmtId="178" fontId="29" fillId="0" borderId="31" xfId="20" applyNumberFormat="1" applyFont="1" applyBorder="1" applyProtection="1">
      <alignment vertical="center"/>
      <protection hidden="1"/>
    </xf>
    <xf numFmtId="183" fontId="29" fillId="0" borderId="32" xfId="20" applyNumberFormat="1" applyFont="1" applyBorder="1" applyProtection="1">
      <alignment vertical="center"/>
      <protection hidden="1"/>
    </xf>
    <xf numFmtId="183" fontId="29" fillId="0" borderId="33" xfId="20" applyNumberFormat="1" applyFont="1" applyBorder="1" applyProtection="1">
      <alignment vertical="center"/>
      <protection hidden="1"/>
    </xf>
    <xf numFmtId="183" fontId="29" fillId="0" borderId="6" xfId="20" applyNumberFormat="1" applyFont="1" applyBorder="1" applyProtection="1">
      <alignment vertical="center"/>
      <protection hidden="1"/>
    </xf>
    <xf numFmtId="178" fontId="29" fillId="0" borderId="5" xfId="20" applyNumberFormat="1" applyFont="1" applyBorder="1" applyProtection="1">
      <alignment vertical="center"/>
      <protection hidden="1"/>
    </xf>
    <xf numFmtId="179" fontId="29" fillId="0" borderId="33" xfId="20" applyNumberFormat="1" applyFont="1" applyBorder="1" applyProtection="1">
      <alignment vertical="center"/>
      <protection hidden="1"/>
    </xf>
    <xf numFmtId="178" fontId="29" fillId="0" borderId="33" xfId="20" applyNumberFormat="1" applyFont="1" applyBorder="1" applyProtection="1">
      <alignment vertical="center"/>
      <protection hidden="1"/>
    </xf>
    <xf numFmtId="178" fontId="29" fillId="0" borderId="6" xfId="20" applyNumberFormat="1" applyFont="1" applyBorder="1" applyProtection="1">
      <alignment vertical="center"/>
      <protection hidden="1"/>
    </xf>
    <xf numFmtId="183" fontId="29" fillId="0" borderId="5" xfId="20" applyNumberFormat="1" applyFont="1" applyBorder="1" applyProtection="1">
      <alignment vertical="center"/>
      <protection hidden="1"/>
    </xf>
    <xf numFmtId="183" fontId="29" fillId="0" borderId="34" xfId="20" applyNumberFormat="1" applyFont="1" applyBorder="1" applyProtection="1">
      <alignment vertical="center"/>
      <protection hidden="1"/>
    </xf>
    <xf numFmtId="183" fontId="29" fillId="0" borderId="35" xfId="20" applyNumberFormat="1" applyFont="1" applyBorder="1" applyProtection="1">
      <alignment vertical="center"/>
      <protection hidden="1"/>
    </xf>
    <xf numFmtId="178" fontId="29" fillId="0" borderId="36" xfId="20" applyNumberFormat="1" applyFont="1" applyBorder="1" applyProtection="1">
      <alignment vertical="center"/>
      <protection hidden="1"/>
    </xf>
    <xf numFmtId="179" fontId="29" fillId="0" borderId="34" xfId="20" applyNumberFormat="1" applyFont="1" applyBorder="1" applyProtection="1">
      <alignment vertical="center"/>
      <protection hidden="1"/>
    </xf>
    <xf numFmtId="178" fontId="29" fillId="0" borderId="34" xfId="20" applyNumberFormat="1" applyFont="1" applyBorder="1" applyProtection="1">
      <alignment vertical="center"/>
      <protection hidden="1"/>
    </xf>
    <xf numFmtId="178" fontId="29" fillId="0" borderId="35" xfId="20" applyNumberFormat="1" applyFont="1" applyBorder="1" applyProtection="1">
      <alignment vertical="center"/>
      <protection hidden="1"/>
    </xf>
    <xf numFmtId="183" fontId="29" fillId="0" borderId="36" xfId="20" applyNumberFormat="1" applyFont="1" applyBorder="1" applyProtection="1">
      <alignment vertical="center"/>
      <protection hidden="1"/>
    </xf>
    <xf numFmtId="10" fontId="30" fillId="0" borderId="29" xfId="20" applyNumberFormat="1" applyFont="1" applyBorder="1">
      <alignment vertical="center"/>
      <protection/>
    </xf>
    <xf numFmtId="0" fontId="17" fillId="0" borderId="0" xfId="20">
      <alignment vertical="center"/>
      <protection/>
    </xf>
    <xf numFmtId="0" fontId="31" fillId="0" borderId="27" xfId="20" applyFont="1" applyBorder="1" applyAlignment="1">
      <alignment horizontal="center" vertical="center"/>
      <protection/>
    </xf>
    <xf numFmtId="0" fontId="33" fillId="0" borderId="29" xfId="20" applyFont="1" applyBorder="1" applyAlignment="1">
      <alignment horizontal="center" vertical="center"/>
      <protection/>
    </xf>
    <xf numFmtId="0" fontId="34" fillId="0" borderId="37" xfId="20" applyFont="1" applyBorder="1" applyAlignment="1">
      <alignment horizontal="center" vertical="center"/>
      <protection/>
    </xf>
    <xf numFmtId="0" fontId="31" fillId="0" borderId="28" xfId="20" applyFont="1" applyBorder="1" applyAlignment="1">
      <alignment horizontal="center" vertical="center"/>
      <protection/>
    </xf>
    <xf numFmtId="0" fontId="31" fillId="0" borderId="29" xfId="20" applyFont="1" applyBorder="1" applyAlignment="1">
      <alignment horizontal="center" vertical="center"/>
      <protection/>
    </xf>
    <xf numFmtId="0" fontId="34" fillId="0" borderId="0" xfId="20" applyFont="1" applyFill="1" applyBorder="1" applyAlignment="1">
      <alignment horizontal="center" vertical="center"/>
      <protection/>
    </xf>
    <xf numFmtId="9" fontId="36" fillId="0" borderId="27" xfId="15" applyFont="1" applyFill="1" applyBorder="1" applyAlignment="1">
      <alignment horizontal="center" vertical="center"/>
    </xf>
    <xf numFmtId="183" fontId="36" fillId="0" borderId="29" xfId="20" applyNumberFormat="1" applyFont="1" applyBorder="1">
      <alignment vertical="center"/>
      <protection/>
    </xf>
    <xf numFmtId="185" fontId="36" fillId="0" borderId="37" xfId="16" applyNumberFormat="1" applyFont="1" applyBorder="1" applyAlignment="1">
      <alignment horizontal="center" vertical="center"/>
    </xf>
    <xf numFmtId="183" fontId="36" fillId="0" borderId="27" xfId="20" applyNumberFormat="1" applyFont="1" applyBorder="1">
      <alignment vertical="center"/>
      <protection/>
    </xf>
    <xf numFmtId="183" fontId="36" fillId="0" borderId="28" xfId="20" applyNumberFormat="1" applyFont="1" applyBorder="1">
      <alignment vertical="center"/>
      <protection/>
    </xf>
    <xf numFmtId="0" fontId="36" fillId="6" borderId="38" xfId="20" applyFont="1" applyFill="1" applyBorder="1">
      <alignment vertical="center"/>
      <protection/>
    </xf>
    <xf numFmtId="0" fontId="36" fillId="6" borderId="39" xfId="20" applyFont="1" applyFill="1" applyBorder="1">
      <alignment vertical="center"/>
      <protection/>
    </xf>
    <xf numFmtId="185" fontId="36" fillId="6" borderId="40" xfId="16" applyNumberFormat="1" applyFont="1" applyFill="1" applyBorder="1" applyAlignment="1">
      <alignment horizontal="center" vertical="center"/>
    </xf>
    <xf numFmtId="183" fontId="36" fillId="6" borderId="38" xfId="20" applyNumberFormat="1" applyFont="1" applyFill="1" applyBorder="1">
      <alignment vertical="center"/>
      <protection/>
    </xf>
    <xf numFmtId="183" fontId="36" fillId="6" borderId="41" xfId="20" applyNumberFormat="1" applyFont="1" applyFill="1" applyBorder="1">
      <alignment vertical="center"/>
      <protection/>
    </xf>
    <xf numFmtId="183" fontId="36" fillId="6" borderId="39" xfId="20" applyNumberFormat="1" applyFont="1" applyFill="1" applyBorder="1">
      <alignment vertical="center"/>
      <protection/>
    </xf>
    <xf numFmtId="0" fontId="23" fillId="0" borderId="27" xfId="20" applyFont="1" applyBorder="1" applyAlignment="1">
      <alignment horizontal="center" vertical="center"/>
      <protection/>
    </xf>
    <xf numFmtId="0" fontId="23" fillId="0" borderId="28" xfId="20" applyFont="1" applyBorder="1" applyAlignment="1">
      <alignment horizontal="center" vertical="center"/>
      <protection/>
    </xf>
    <xf numFmtId="0" fontId="23" fillId="0" borderId="29" xfId="20" applyFont="1" applyBorder="1" applyAlignment="1">
      <alignment horizontal="center" vertical="center"/>
      <protection/>
    </xf>
    <xf numFmtId="0" fontId="17" fillId="0" borderId="27" xfId="20" applyBorder="1" applyAlignment="1">
      <alignment horizontal="center" vertical="center"/>
      <protection/>
    </xf>
    <xf numFmtId="0" fontId="17" fillId="0" borderId="28" xfId="20" applyBorder="1" applyAlignment="1">
      <alignment horizontal="center" vertical="center"/>
      <protection/>
    </xf>
    <xf numFmtId="0" fontId="17" fillId="0" borderId="29" xfId="20" applyBorder="1" applyAlignment="1">
      <alignment horizontal="center" vertical="center"/>
      <protection/>
    </xf>
    <xf numFmtId="182" fontId="36" fillId="6" borderId="42" xfId="20" applyNumberFormat="1" applyFont="1" applyFill="1" applyBorder="1">
      <alignment vertical="center"/>
      <protection/>
    </xf>
    <xf numFmtId="195" fontId="36" fillId="6" borderId="43" xfId="20" applyNumberFormat="1" applyFont="1" applyFill="1" applyBorder="1">
      <alignment vertical="center"/>
      <protection/>
    </xf>
    <xf numFmtId="195" fontId="36" fillId="6" borderId="43" xfId="16" applyNumberFormat="1" applyFont="1" applyFill="1" applyBorder="1" applyAlignment="1">
      <alignment vertical="center"/>
    </xf>
    <xf numFmtId="194" fontId="36" fillId="6" borderId="43" xfId="16" applyNumberFormat="1" applyFont="1" applyFill="1" applyBorder="1" applyAlignment="1">
      <alignment vertical="center"/>
    </xf>
    <xf numFmtId="194" fontId="36" fillId="6" borderId="44" xfId="16" applyNumberFormat="1" applyFont="1" applyFill="1" applyBorder="1" applyAlignment="1">
      <alignment vertical="center"/>
    </xf>
    <xf numFmtId="182" fontId="36" fillId="0" borderId="32" xfId="20" applyNumberFormat="1" applyFont="1" applyBorder="1">
      <alignment vertical="center"/>
      <protection/>
    </xf>
    <xf numFmtId="196" fontId="36" fillId="0" borderId="30" xfId="20" applyNumberFormat="1" applyFont="1" applyBorder="1">
      <alignment vertical="center"/>
      <protection/>
    </xf>
    <xf numFmtId="196" fontId="36" fillId="0" borderId="31" xfId="20" applyNumberFormat="1" applyFont="1" applyBorder="1">
      <alignment vertical="center"/>
      <protection/>
    </xf>
    <xf numFmtId="194" fontId="36" fillId="0" borderId="32" xfId="16" applyNumberFormat="1" applyFont="1" applyBorder="1" applyAlignment="1">
      <alignment vertical="center"/>
    </xf>
    <xf numFmtId="194" fontId="36" fillId="0" borderId="45" xfId="16" applyNumberFormat="1" applyFont="1" applyBorder="1" applyAlignment="1">
      <alignment vertical="center"/>
    </xf>
    <xf numFmtId="194" fontId="36" fillId="0" borderId="46" xfId="16" applyNumberFormat="1" applyFont="1" applyBorder="1" applyAlignment="1">
      <alignment vertical="center"/>
    </xf>
    <xf numFmtId="182" fontId="36" fillId="0" borderId="38" xfId="20" applyNumberFormat="1" applyFont="1" applyBorder="1">
      <alignment vertical="center"/>
      <protection/>
    </xf>
    <xf numFmtId="196" fontId="36" fillId="0" borderId="41" xfId="20" applyNumberFormat="1" applyFont="1" applyBorder="1">
      <alignment vertical="center"/>
      <protection/>
    </xf>
    <xf numFmtId="196" fontId="36" fillId="0" borderId="39" xfId="20" applyNumberFormat="1" applyFont="1" applyBorder="1">
      <alignment vertical="center"/>
      <protection/>
    </xf>
    <xf numFmtId="194" fontId="36" fillId="0" borderId="38" xfId="16" applyNumberFormat="1" applyFont="1" applyBorder="1" applyAlignment="1">
      <alignment vertical="center"/>
    </xf>
    <xf numFmtId="194" fontId="36" fillId="0" borderId="47" xfId="16" applyNumberFormat="1" applyFont="1" applyBorder="1" applyAlignment="1">
      <alignment vertical="center"/>
    </xf>
    <xf numFmtId="194" fontId="36" fillId="0" borderId="48" xfId="16" applyNumberFormat="1" applyFont="1" applyBorder="1" applyAlignment="1">
      <alignment vertical="center"/>
    </xf>
    <xf numFmtId="0" fontId="37" fillId="0" borderId="27" xfId="20" applyFont="1" applyBorder="1" applyAlignment="1" applyProtection="1">
      <alignment horizontal="center" vertical="center"/>
      <protection hidden="1"/>
    </xf>
    <xf numFmtId="0" fontId="37" fillId="0" borderId="29" xfId="20" applyFont="1" applyBorder="1" applyAlignment="1" applyProtection="1">
      <alignment horizontal="center" vertical="center"/>
      <protection hidden="1"/>
    </xf>
    <xf numFmtId="0" fontId="34" fillId="0" borderId="0" xfId="20" applyFont="1" applyBorder="1" applyAlignment="1" applyProtection="1">
      <alignment horizontal="center" vertical="center"/>
      <protection hidden="1"/>
    </xf>
    <xf numFmtId="0" fontId="25" fillId="0" borderId="0" xfId="20" applyFont="1" applyBorder="1" applyAlignment="1" applyProtection="1">
      <alignment horizontal="left" vertical="center"/>
      <protection hidden="1"/>
    </xf>
    <xf numFmtId="10" fontId="14" fillId="0" borderId="38" xfId="15" applyNumberFormat="1" applyFont="1" applyFill="1" applyBorder="1" applyAlignment="1" applyProtection="1">
      <alignment horizontal="center" vertical="center"/>
      <protection hidden="1"/>
    </xf>
    <xf numFmtId="10" fontId="14" fillId="0" borderId="39" xfId="15" applyNumberFormat="1" applyFont="1" applyFill="1" applyBorder="1" applyAlignment="1" applyProtection="1">
      <alignment horizontal="center" vertical="center"/>
      <protection hidden="1"/>
    </xf>
    <xf numFmtId="10" fontId="14" fillId="0" borderId="0" xfId="15" applyNumberFormat="1" applyFont="1" applyFill="1" applyBorder="1" applyAlignment="1" applyProtection="1">
      <alignment horizontal="center" vertical="center"/>
      <protection hidden="1"/>
    </xf>
    <xf numFmtId="10" fontId="25" fillId="0" borderId="0" xfId="15" applyNumberFormat="1" applyFont="1" applyFill="1" applyBorder="1" applyAlignment="1" applyProtection="1">
      <alignment horizontal="left" vertical="center"/>
      <protection hidden="1"/>
    </xf>
    <xf numFmtId="0" fontId="36" fillId="0" borderId="0" xfId="20" applyFont="1" applyAlignment="1" applyProtection="1">
      <alignment horizontal="right" vertical="center"/>
      <protection hidden="1"/>
    </xf>
    <xf numFmtId="0" fontId="0" fillId="0" borderId="0" xfId="20" applyFont="1" applyFill="1" applyAlignment="1" applyProtection="1">
      <alignment horizontal="righ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3" fillId="0" borderId="27" xfId="20" applyFont="1" applyBorder="1" applyAlignment="1" applyProtection="1">
      <alignment horizontal="center" vertical="center"/>
      <protection hidden="1"/>
    </xf>
    <xf numFmtId="0" fontId="23" fillId="0" borderId="49" xfId="20" applyFont="1" applyBorder="1" applyAlignment="1" applyProtection="1">
      <alignment horizontal="center" vertical="center"/>
      <protection hidden="1"/>
    </xf>
    <xf numFmtId="0" fontId="33" fillId="7" borderId="50" xfId="20" applyFont="1" applyFill="1" applyBorder="1" applyAlignment="1" applyProtection="1">
      <alignment horizontal="center" vertical="center"/>
      <protection hidden="1"/>
    </xf>
    <xf numFmtId="0" fontId="33" fillId="7" borderId="51" xfId="20" applyFont="1" applyFill="1" applyBorder="1" applyAlignment="1" applyProtection="1">
      <alignment horizontal="center" vertical="center"/>
      <protection hidden="1"/>
    </xf>
    <xf numFmtId="0" fontId="33" fillId="0" borderId="52" xfId="20" applyFont="1" applyFill="1" applyBorder="1" applyAlignment="1" applyProtection="1">
      <alignment horizontal="center" vertical="center"/>
      <protection hidden="1"/>
    </xf>
    <xf numFmtId="0" fontId="33" fillId="0" borderId="29" xfId="20" applyFont="1" applyFill="1" applyBorder="1" applyAlignment="1" applyProtection="1">
      <alignment horizontal="center" vertical="center"/>
      <protection hidden="1"/>
    </xf>
    <xf numFmtId="182" fontId="36" fillId="0" borderId="53" xfId="20" applyNumberFormat="1" applyFont="1" applyBorder="1" applyProtection="1">
      <alignment vertical="center"/>
      <protection hidden="1"/>
    </xf>
    <xf numFmtId="183" fontId="36" fillId="0" borderId="54" xfId="20" applyNumberFormat="1" applyFont="1" applyBorder="1" applyProtection="1">
      <alignment vertical="center"/>
      <protection hidden="1"/>
    </xf>
    <xf numFmtId="183" fontId="36" fillId="0" borderId="53" xfId="20" applyNumberFormat="1" applyFont="1" applyFill="1" applyBorder="1" applyProtection="1">
      <alignment vertical="center"/>
      <protection hidden="1"/>
    </xf>
    <xf numFmtId="183" fontId="36" fillId="0" borderId="55" xfId="20" applyNumberFormat="1" applyFont="1" applyFill="1" applyBorder="1" applyProtection="1">
      <alignment vertical="center"/>
      <protection hidden="1"/>
    </xf>
    <xf numFmtId="183" fontId="36" fillId="0" borderId="55" xfId="20" applyNumberFormat="1" applyFont="1" applyBorder="1" applyProtection="1">
      <alignment vertical="center"/>
      <protection hidden="1"/>
    </xf>
    <xf numFmtId="182" fontId="36" fillId="0" borderId="5" xfId="20" applyNumberFormat="1" applyFont="1" applyBorder="1" applyProtection="1">
      <alignment vertical="center"/>
      <protection hidden="1"/>
    </xf>
    <xf numFmtId="183" fontId="36" fillId="0" borderId="56" xfId="20" applyNumberFormat="1" applyFont="1" applyBorder="1" applyProtection="1">
      <alignment vertical="center"/>
      <protection hidden="1"/>
    </xf>
    <xf numFmtId="183" fontId="36" fillId="0" borderId="5" xfId="20" applyNumberFormat="1" applyFont="1" applyFill="1" applyBorder="1" applyProtection="1">
      <alignment vertical="center"/>
      <protection hidden="1"/>
    </xf>
    <xf numFmtId="183" fontId="36" fillId="0" borderId="6" xfId="20" applyNumberFormat="1" applyFont="1" applyFill="1" applyBorder="1" applyProtection="1">
      <alignment vertical="center"/>
      <protection hidden="1"/>
    </xf>
    <xf numFmtId="183" fontId="36" fillId="0" borderId="6" xfId="20" applyNumberFormat="1" applyFont="1" applyBorder="1" applyProtection="1">
      <alignment vertical="center"/>
      <protection hidden="1"/>
    </xf>
    <xf numFmtId="0" fontId="33" fillId="0" borderId="57" xfId="20" applyFont="1" applyFill="1" applyBorder="1" applyAlignment="1" applyProtection="1">
      <alignment horizontal="center" vertical="center"/>
      <protection hidden="1"/>
    </xf>
    <xf numFmtId="183" fontId="17" fillId="0" borderId="57" xfId="20" applyNumberFormat="1" applyFill="1" applyBorder="1" applyProtection="1">
      <alignment vertical="center"/>
      <protection hidden="1"/>
    </xf>
    <xf numFmtId="183" fontId="17" fillId="0" borderId="58" xfId="20" applyNumberFormat="1" applyFill="1" applyBorder="1" applyProtection="1">
      <alignment vertical="center"/>
      <protection hidden="1"/>
    </xf>
    <xf numFmtId="0" fontId="17" fillId="0" borderId="59" xfId="20" applyBorder="1" applyProtection="1">
      <alignment vertical="center"/>
      <protection hidden="1"/>
    </xf>
    <xf numFmtId="0" fontId="17" fillId="0" borderId="0" xfId="20" applyBorder="1" applyProtection="1">
      <alignment vertical="center"/>
      <protection hidden="1"/>
    </xf>
    <xf numFmtId="182" fontId="36" fillId="0" borderId="36" xfId="20" applyNumberFormat="1" applyFont="1" applyBorder="1" applyProtection="1">
      <alignment vertical="center"/>
      <protection hidden="1"/>
    </xf>
    <xf numFmtId="183" fontId="36" fillId="0" borderId="60" xfId="20" applyNumberFormat="1" applyFont="1" applyBorder="1" applyProtection="1">
      <alignment vertical="center"/>
      <protection hidden="1"/>
    </xf>
    <xf numFmtId="183" fontId="36" fillId="0" borderId="36" xfId="20" applyNumberFormat="1" applyFont="1" applyFill="1" applyBorder="1" applyProtection="1">
      <alignment vertical="center"/>
      <protection hidden="1"/>
    </xf>
    <xf numFmtId="183" fontId="36" fillId="0" borderId="35" xfId="20" applyNumberFormat="1" applyFont="1" applyFill="1" applyBorder="1" applyProtection="1">
      <alignment vertical="center"/>
      <protection hidden="1"/>
    </xf>
    <xf numFmtId="183" fontId="36" fillId="0" borderId="35" xfId="20" applyNumberFormat="1" applyFont="1" applyBorder="1" applyProtection="1">
      <alignment vertical="center"/>
      <protection hidden="1"/>
    </xf>
    <xf numFmtId="183" fontId="17" fillId="0" borderId="0" xfId="20" applyNumberFormat="1" applyFill="1" applyBorder="1" applyProtection="1">
      <alignment vertical="center"/>
      <protection hidden="1"/>
    </xf>
    <xf numFmtId="177" fontId="0" fillId="5" borderId="32" xfId="0" applyNumberFormat="1" applyFill="1" applyBorder="1" applyAlignment="1" applyProtection="1">
      <alignment/>
      <protection hidden="1"/>
    </xf>
    <xf numFmtId="177" fontId="0" fillId="5" borderId="31" xfId="0" applyNumberFormat="1" applyFill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vertical="top"/>
      <protection hidden="1"/>
    </xf>
    <xf numFmtId="2" fontId="0" fillId="0" borderId="16" xfId="0" applyNumberFormat="1" applyBorder="1" applyAlignment="1" applyProtection="1">
      <alignment vertical="center"/>
      <protection hidden="1"/>
    </xf>
    <xf numFmtId="0" fontId="12" fillId="0" borderId="61" xfId="0" applyFont="1" applyBorder="1" applyAlignment="1" applyProtection="1">
      <alignment horizontal="distributed"/>
      <protection hidden="1"/>
    </xf>
    <xf numFmtId="0" fontId="0" fillId="0" borderId="62" xfId="0" applyBorder="1" applyAlignment="1" applyProtection="1">
      <alignment/>
      <protection hidden="1"/>
    </xf>
    <xf numFmtId="187" fontId="5" fillId="5" borderId="20" xfId="0" applyNumberFormat="1" applyFont="1" applyFill="1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186" fontId="5" fillId="0" borderId="1" xfId="0" applyNumberFormat="1" applyFont="1" applyFill="1" applyBorder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distributed"/>
      <protection hidden="1"/>
    </xf>
    <xf numFmtId="40" fontId="5" fillId="5" borderId="64" xfId="16" applyNumberFormat="1" applyFont="1" applyFill="1" applyBorder="1" applyAlignment="1" applyProtection="1">
      <alignment/>
      <protection hidden="1"/>
    </xf>
    <xf numFmtId="176" fontId="6" fillId="4" borderId="1" xfId="0" applyNumberFormat="1" applyFont="1" applyFill="1" applyBorder="1" applyAlignment="1" applyProtection="1">
      <alignment/>
      <protection locked="0"/>
    </xf>
    <xf numFmtId="38" fontId="6" fillId="4" borderId="1" xfId="16" applyFont="1" applyFill="1" applyBorder="1" applyAlignment="1" applyProtection="1">
      <alignment/>
      <protection locked="0"/>
    </xf>
    <xf numFmtId="184" fontId="6" fillId="4" borderId="1" xfId="16" applyNumberFormat="1" applyFont="1" applyFill="1" applyBorder="1" applyAlignment="1" applyProtection="1">
      <alignment/>
      <protection locked="0"/>
    </xf>
    <xf numFmtId="0" fontId="4" fillId="0" borderId="65" xfId="0" applyFont="1" applyBorder="1" applyAlignment="1" applyProtection="1">
      <alignment horizontal="distributed" vertical="center" shrinkToFit="1"/>
      <protection hidden="1"/>
    </xf>
    <xf numFmtId="176" fontId="13" fillId="0" borderId="66" xfId="0" applyNumberFormat="1" applyFont="1" applyBorder="1" applyAlignment="1" applyProtection="1">
      <alignment vertical="center" shrinkToFit="1"/>
      <protection hidden="1"/>
    </xf>
    <xf numFmtId="0" fontId="4" fillId="0" borderId="67" xfId="0" applyFont="1" applyBorder="1" applyAlignment="1" applyProtection="1">
      <alignment horizontal="distributed" vertical="center" shrinkToFit="1"/>
      <protection hidden="1"/>
    </xf>
    <xf numFmtId="176" fontId="13" fillId="0" borderId="68" xfId="0" applyNumberFormat="1" applyFont="1" applyBorder="1" applyAlignment="1" applyProtection="1">
      <alignment vertical="center" shrinkToFit="1"/>
      <protection hidden="1"/>
    </xf>
    <xf numFmtId="186" fontId="5" fillId="4" borderId="1" xfId="0" applyNumberFormat="1" applyFont="1" applyFill="1" applyBorder="1" applyAlignment="1" applyProtection="1">
      <alignment horizontal="center"/>
      <protection locked="0"/>
    </xf>
    <xf numFmtId="40" fontId="5" fillId="4" borderId="20" xfId="16" applyNumberFormat="1" applyFont="1" applyFill="1" applyBorder="1" applyAlignment="1" applyProtection="1">
      <alignment/>
      <protection locked="0"/>
    </xf>
    <xf numFmtId="40" fontId="5" fillId="0" borderId="61" xfId="16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2" fontId="0" fillId="0" borderId="0" xfId="0" applyNumberFormat="1" applyAlignment="1" applyProtection="1">
      <alignment/>
      <protection hidden="1" locked="0"/>
    </xf>
    <xf numFmtId="38" fontId="0" fillId="0" borderId="0" xfId="16" applyAlignment="1" applyProtection="1">
      <alignment/>
      <protection hidden="1" locked="0"/>
    </xf>
    <xf numFmtId="176" fontId="0" fillId="0" borderId="0" xfId="0" applyNumberFormat="1" applyAlignment="1" applyProtection="1">
      <alignment/>
      <protection hidden="1" locked="0"/>
    </xf>
    <xf numFmtId="189" fontId="0" fillId="0" borderId="0" xfId="0" applyNumberFormat="1" applyAlignment="1" applyProtection="1">
      <alignment/>
      <protection hidden="1" locked="0"/>
    </xf>
    <xf numFmtId="0" fontId="7" fillId="0" borderId="0" xfId="0" applyFont="1" applyFill="1" applyAlignment="1" applyProtection="1">
      <alignment/>
      <protection hidden="1" locked="0"/>
    </xf>
    <xf numFmtId="0" fontId="49" fillId="0" borderId="0" xfId="0" applyFont="1" applyAlignment="1" applyProtection="1">
      <alignment/>
      <protection hidden="1"/>
    </xf>
    <xf numFmtId="38" fontId="49" fillId="0" borderId="0" xfId="16" applyFont="1" applyAlignment="1" applyProtection="1">
      <alignment/>
      <protection hidden="1"/>
    </xf>
    <xf numFmtId="192" fontId="8" fillId="0" borderId="0" xfId="0" applyNumberFormat="1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 wrapText="1"/>
      <protection hidden="1"/>
    </xf>
    <xf numFmtId="0" fontId="18" fillId="0" borderId="0" xfId="20" applyFont="1" applyAlignment="1" applyProtection="1">
      <alignment horizontal="center" vertical="center"/>
      <protection hidden="1"/>
    </xf>
    <xf numFmtId="0" fontId="0" fillId="4" borderId="69" xfId="0" applyFont="1" applyFill="1" applyBorder="1" applyAlignment="1" applyProtection="1">
      <alignment horizontal="center" vertical="center"/>
      <protection hidden="1"/>
    </xf>
    <xf numFmtId="0" fontId="0" fillId="4" borderId="70" xfId="0" applyFont="1" applyFill="1" applyBorder="1" applyAlignment="1" applyProtection="1">
      <alignment horizontal="center" vertical="center"/>
      <protection hidden="1"/>
    </xf>
    <xf numFmtId="0" fontId="0" fillId="4" borderId="71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204" fontId="5" fillId="5" borderId="72" xfId="16" applyNumberFormat="1" applyFont="1" applyFill="1" applyBorder="1" applyAlignment="1" applyProtection="1">
      <alignment horizontal="center" vertical="center"/>
      <protection hidden="1" locked="0"/>
    </xf>
    <xf numFmtId="206" fontId="5" fillId="5" borderId="73" xfId="16" applyNumberFormat="1" applyFont="1" applyFill="1" applyBorder="1" applyAlignment="1" applyProtection="1">
      <alignment horizontal="center" vertical="center"/>
      <protection hidden="1" locked="0"/>
    </xf>
    <xf numFmtId="206" fontId="5" fillId="5" borderId="74" xfId="16" applyNumberFormat="1" applyFont="1" applyFill="1" applyBorder="1" applyAlignment="1" applyProtection="1">
      <alignment horizontal="center" vertical="center"/>
      <protection hidden="1"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75" xfId="0" applyNumberFormat="1" applyFont="1" applyBorder="1" applyAlignment="1" applyProtection="1">
      <alignment horizontal="center" vertical="center"/>
      <protection hidden="1"/>
    </xf>
    <xf numFmtId="0" fontId="50" fillId="0" borderId="20" xfId="0" applyNumberFormat="1" applyFont="1" applyBorder="1" applyAlignment="1" applyProtection="1">
      <alignment horizontal="center" vertical="center"/>
      <protection hidden="1"/>
    </xf>
    <xf numFmtId="0" fontId="0" fillId="8" borderId="76" xfId="0" applyFill="1" applyBorder="1" applyAlignment="1" applyProtection="1">
      <alignment/>
      <protection hidden="1"/>
    </xf>
    <xf numFmtId="0" fontId="0" fillId="8" borderId="77" xfId="0" applyFill="1" applyBorder="1" applyAlignment="1" applyProtection="1">
      <alignment/>
      <protection hidden="1"/>
    </xf>
    <xf numFmtId="0" fontId="0" fillId="8" borderId="78" xfId="0" applyFill="1" applyBorder="1" applyAlignment="1" applyProtection="1">
      <alignment/>
      <protection hidden="1"/>
    </xf>
    <xf numFmtId="0" fontId="12" fillId="0" borderId="62" xfId="0" applyFont="1" applyBorder="1" applyAlignment="1" applyProtection="1">
      <alignment horizontal="distributed"/>
      <protection hidden="1"/>
    </xf>
    <xf numFmtId="0" fontId="47" fillId="0" borderId="0" xfId="0" applyFont="1" applyAlignment="1" applyProtection="1">
      <alignment vertical="center"/>
      <protection hidden="1"/>
    </xf>
    <xf numFmtId="0" fontId="12" fillId="0" borderId="79" xfId="0" applyFont="1" applyBorder="1" applyAlignment="1" applyProtection="1">
      <alignment horizontal="distributed"/>
      <protection hidden="1"/>
    </xf>
    <xf numFmtId="0" fontId="48" fillId="0" borderId="80" xfId="0" applyFont="1" applyBorder="1" applyAlignment="1" applyProtection="1">
      <alignment horizontal="center" wrapText="1"/>
      <protection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12" fillId="0" borderId="81" xfId="0" applyFont="1" applyBorder="1" applyAlignment="1" applyProtection="1">
      <alignment horizontal="distributed"/>
      <protection hidden="1"/>
    </xf>
    <xf numFmtId="0" fontId="47" fillId="0" borderId="82" xfId="0" applyFont="1" applyBorder="1" applyAlignment="1" applyProtection="1">
      <alignment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4" fillId="0" borderId="85" xfId="0" applyFont="1" applyBorder="1" applyAlignment="1" applyProtection="1">
      <alignment horizontal="distributed" vertical="center" shrinkToFit="1"/>
      <protection hidden="1"/>
    </xf>
    <xf numFmtId="0" fontId="4" fillId="0" borderId="65" xfId="0" applyFont="1" applyBorder="1" applyAlignment="1" applyProtection="1">
      <alignment horizontal="distributed" vertical="center" shrinkToFit="1"/>
      <protection hidden="1"/>
    </xf>
    <xf numFmtId="176" fontId="13" fillId="0" borderId="26" xfId="0" applyNumberFormat="1" applyFont="1" applyBorder="1" applyAlignment="1" applyProtection="1">
      <alignment horizontal="center" vertical="center" shrinkToFit="1"/>
      <protection hidden="1"/>
    </xf>
    <xf numFmtId="176" fontId="13" fillId="0" borderId="86" xfId="0" applyNumberFormat="1" applyFont="1" applyBorder="1" applyAlignment="1" applyProtection="1">
      <alignment horizontal="center" vertical="center" shrinkToFit="1"/>
      <protection hidden="1"/>
    </xf>
    <xf numFmtId="176" fontId="13" fillId="0" borderId="87" xfId="0" applyNumberFormat="1" applyFont="1" applyBorder="1" applyAlignment="1" applyProtection="1">
      <alignment horizontal="center" vertical="center" shrinkToFit="1"/>
      <protection hidden="1"/>
    </xf>
    <xf numFmtId="2" fontId="13" fillId="0" borderId="26" xfId="0" applyNumberFormat="1" applyFont="1" applyBorder="1" applyAlignment="1" applyProtection="1">
      <alignment vertical="center" shrinkToFit="1"/>
      <protection hidden="1"/>
    </xf>
    <xf numFmtId="2" fontId="13" fillId="0" borderId="86" xfId="0" applyNumberFormat="1" applyFont="1" applyBorder="1" applyAlignment="1" applyProtection="1">
      <alignment vertical="center" shrinkToFit="1"/>
      <protection hidden="1"/>
    </xf>
    <xf numFmtId="2" fontId="13" fillId="0" borderId="87" xfId="0" applyNumberFormat="1" applyFont="1" applyBorder="1" applyAlignment="1" applyProtection="1">
      <alignment vertical="center" shrinkToFit="1"/>
      <protection hidden="1"/>
    </xf>
    <xf numFmtId="0" fontId="4" fillId="0" borderId="85" xfId="0" applyFont="1" applyBorder="1" applyAlignment="1" applyProtection="1">
      <alignment horizontal="center" vertical="center" shrinkToFit="1"/>
      <protection hidden="1"/>
    </xf>
    <xf numFmtId="0" fontId="4" fillId="0" borderId="65" xfId="0" applyFont="1" applyBorder="1" applyAlignment="1" applyProtection="1">
      <alignment horizontal="center" vertical="center" shrinkToFit="1"/>
      <protection hidden="1"/>
    </xf>
    <xf numFmtId="176" fontId="13" fillId="0" borderId="88" xfId="0" applyNumberFormat="1" applyFont="1" applyBorder="1" applyAlignment="1" applyProtection="1">
      <alignment vertical="center" shrinkToFit="1"/>
      <protection hidden="1"/>
    </xf>
    <xf numFmtId="176" fontId="13" fillId="0" borderId="66" xfId="0" applyNumberFormat="1" applyFont="1" applyBorder="1" applyAlignment="1" applyProtection="1">
      <alignment vertical="center" shrinkToFit="1"/>
      <protection hidden="1"/>
    </xf>
    <xf numFmtId="177" fontId="13" fillId="0" borderId="88" xfId="0" applyNumberFormat="1" applyFont="1" applyBorder="1" applyAlignment="1" applyProtection="1">
      <alignment vertical="center" shrinkToFit="1"/>
      <protection hidden="1"/>
    </xf>
    <xf numFmtId="177" fontId="13" fillId="0" borderId="66" xfId="0" applyNumberFormat="1" applyFont="1" applyBorder="1" applyAlignment="1" applyProtection="1">
      <alignment vertical="center" shrinkToFit="1"/>
      <protection hidden="1"/>
    </xf>
    <xf numFmtId="176" fontId="13" fillId="0" borderId="68" xfId="0" applyNumberFormat="1" applyFont="1" applyBorder="1" applyAlignment="1" applyProtection="1">
      <alignment vertical="center" shrinkToFit="1"/>
      <protection hidden="1"/>
    </xf>
    <xf numFmtId="190" fontId="13" fillId="0" borderId="88" xfId="0" applyNumberFormat="1" applyFont="1" applyBorder="1" applyAlignment="1" applyProtection="1">
      <alignment vertical="center" shrinkToFit="1"/>
      <protection hidden="1"/>
    </xf>
    <xf numFmtId="190" fontId="13" fillId="0" borderId="66" xfId="0" applyNumberFormat="1" applyFont="1" applyBorder="1" applyAlignment="1" applyProtection="1">
      <alignment vertical="center" shrinkToFit="1"/>
      <protection hidden="1"/>
    </xf>
    <xf numFmtId="188" fontId="0" fillId="0" borderId="32" xfId="0" applyNumberFormat="1" applyBorder="1" applyAlignment="1" applyProtection="1">
      <alignment horizontal="center" vertical="center"/>
      <protection hidden="1"/>
    </xf>
    <xf numFmtId="188" fontId="0" fillId="0" borderId="31" xfId="0" applyNumberFormat="1" applyBorder="1" applyAlignment="1" applyProtection="1">
      <alignment horizontal="center" vertical="center"/>
      <protection hidden="1"/>
    </xf>
    <xf numFmtId="0" fontId="0" fillId="0" borderId="89" xfId="0" applyBorder="1" applyAlignment="1" applyProtection="1">
      <alignment horizontal="center" vertical="center" textRotation="255"/>
      <protection hidden="1"/>
    </xf>
    <xf numFmtId="0" fontId="0" fillId="0" borderId="90" xfId="0" applyBorder="1" applyAlignment="1" applyProtection="1">
      <alignment horizontal="center" vertical="center" textRotation="255"/>
      <protection hidden="1"/>
    </xf>
    <xf numFmtId="0" fontId="0" fillId="0" borderId="91" xfId="0" applyBorder="1" applyAlignment="1" applyProtection="1">
      <alignment horizontal="center" vertical="center" textRotation="255"/>
      <protection hidden="1"/>
    </xf>
    <xf numFmtId="188" fontId="0" fillId="0" borderId="11" xfId="0" applyNumberFormat="1" applyBorder="1" applyAlignment="1" applyProtection="1">
      <alignment horizontal="center" vertical="center"/>
      <protection hidden="1"/>
    </xf>
    <xf numFmtId="188" fontId="0" fillId="0" borderId="12" xfId="0" applyNumberFormat="1" applyBorder="1" applyAlignment="1" applyProtection="1">
      <alignment horizontal="center" vertical="center"/>
      <protection hidden="1"/>
    </xf>
    <xf numFmtId="188" fontId="0" fillId="5" borderId="11" xfId="0" applyNumberFormat="1" applyFill="1" applyBorder="1" applyAlignment="1" applyProtection="1">
      <alignment horizontal="distributed" vertical="center"/>
      <protection hidden="1"/>
    </xf>
    <xf numFmtId="188" fontId="0" fillId="5" borderId="12" xfId="0" applyNumberFormat="1" applyFill="1" applyBorder="1" applyAlignment="1" applyProtection="1">
      <alignment horizontal="distributed" vertical="center"/>
      <protection hidden="1"/>
    </xf>
    <xf numFmtId="188" fontId="0" fillId="0" borderId="92" xfId="0" applyNumberFormat="1" applyBorder="1" applyAlignment="1" applyProtection="1">
      <alignment horizontal="center" vertical="center"/>
      <protection hidden="1"/>
    </xf>
    <xf numFmtId="0" fontId="15" fillId="0" borderId="93" xfId="0" applyFont="1" applyBorder="1" applyAlignment="1" applyProtection="1">
      <alignment horizontal="center" vertical="center" shrinkToFit="1"/>
      <protection hidden="1"/>
    </xf>
    <xf numFmtId="0" fontId="15" fillId="0" borderId="82" xfId="0" applyFont="1" applyBorder="1" applyAlignment="1" applyProtection="1">
      <alignment horizontal="center" vertical="center" shrinkToFit="1"/>
      <protection hidden="1"/>
    </xf>
    <xf numFmtId="0" fontId="15" fillId="0" borderId="25" xfId="0" applyFont="1" applyBorder="1" applyAlignment="1" applyProtection="1">
      <alignment horizontal="center" vertical="center" shrinkToFit="1"/>
      <protection hidden="1"/>
    </xf>
    <xf numFmtId="0" fontId="15" fillId="0" borderId="94" xfId="0" applyFont="1" applyBorder="1" applyAlignment="1" applyProtection="1">
      <alignment horizontal="center" vertical="center" shrinkToFit="1"/>
      <protection hidden="1"/>
    </xf>
    <xf numFmtId="0" fontId="15" fillId="0" borderId="80" xfId="0" applyFont="1" applyBorder="1" applyAlignment="1" applyProtection="1">
      <alignment horizontal="center" vertical="center" shrinkToFit="1"/>
      <protection hidden="1"/>
    </xf>
    <xf numFmtId="0" fontId="15" fillId="0" borderId="95" xfId="0" applyFon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0" fontId="4" fillId="0" borderId="96" xfId="0" applyFont="1" applyBorder="1" applyAlignment="1" applyProtection="1">
      <alignment horizontal="center" vertical="center" shrinkToFit="1"/>
      <protection hidden="1"/>
    </xf>
    <xf numFmtId="0" fontId="4" fillId="0" borderId="97" xfId="0" applyFon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distributed" vertical="center"/>
      <protection hidden="1"/>
    </xf>
    <xf numFmtId="0" fontId="4" fillId="0" borderId="96" xfId="0" applyFont="1" applyBorder="1" applyAlignment="1" applyProtection="1">
      <alignment horizontal="distributed" vertical="center"/>
      <protection hidden="1"/>
    </xf>
    <xf numFmtId="0" fontId="4" fillId="0" borderId="97" xfId="0" applyFont="1" applyBorder="1" applyAlignment="1" applyProtection="1">
      <alignment horizontal="distributed" vertical="center"/>
      <protection hidden="1"/>
    </xf>
    <xf numFmtId="0" fontId="4" fillId="0" borderId="67" xfId="0" applyFont="1" applyBorder="1" applyAlignment="1" applyProtection="1">
      <alignment horizontal="distributed" vertical="center" shrinkToFit="1"/>
      <protection hidden="1"/>
    </xf>
    <xf numFmtId="177" fontId="13" fillId="0" borderId="68" xfId="0" applyNumberFormat="1" applyFont="1" applyBorder="1" applyAlignment="1" applyProtection="1">
      <alignment vertical="center" shrinkToFit="1"/>
      <protection hidden="1"/>
    </xf>
    <xf numFmtId="0" fontId="4" fillId="0" borderId="98" xfId="0" applyFont="1" applyBorder="1" applyAlignment="1" applyProtection="1">
      <alignment horizontal="center" vertical="center"/>
      <protection hidden="1"/>
    </xf>
    <xf numFmtId="181" fontId="13" fillId="8" borderId="99" xfId="0" applyNumberFormat="1" applyFont="1" applyFill="1" applyBorder="1" applyAlignment="1" applyProtection="1">
      <alignment horizontal="center" vertical="center"/>
      <protection hidden="1"/>
    </xf>
    <xf numFmtId="0" fontId="4" fillId="0" borderId="98" xfId="0" applyFont="1" applyBorder="1" applyAlignment="1" applyProtection="1">
      <alignment horizontal="center" vertical="center" shrinkToFit="1"/>
      <protection hidden="1"/>
    </xf>
    <xf numFmtId="38" fontId="13" fillId="0" borderId="26" xfId="16" applyFont="1" applyBorder="1" applyAlignment="1" applyProtection="1">
      <alignment vertical="center" shrinkToFit="1"/>
      <protection hidden="1"/>
    </xf>
    <xf numFmtId="38" fontId="13" fillId="0" borderId="86" xfId="16" applyFont="1" applyBorder="1" applyAlignment="1" applyProtection="1">
      <alignment vertical="center" shrinkToFit="1"/>
      <protection hidden="1"/>
    </xf>
    <xf numFmtId="38" fontId="13" fillId="0" borderId="87" xfId="16" applyFont="1" applyBorder="1" applyAlignment="1" applyProtection="1">
      <alignment vertical="center" shrinkToFit="1"/>
      <protection hidden="1"/>
    </xf>
    <xf numFmtId="0" fontId="4" fillId="0" borderId="67" xfId="0" applyFont="1" applyBorder="1" applyAlignment="1" applyProtection="1">
      <alignment horizontal="center" vertical="center" shrinkToFit="1"/>
      <protection hidden="1"/>
    </xf>
    <xf numFmtId="0" fontId="12" fillId="0" borderId="100" xfId="0" applyFont="1" applyBorder="1" applyAlignment="1" applyProtection="1">
      <alignment horizontal="distributed"/>
      <protection hidden="1"/>
    </xf>
    <xf numFmtId="0" fontId="12" fillId="0" borderId="101" xfId="0" applyFont="1" applyBorder="1" applyAlignment="1" applyProtection="1">
      <alignment horizontal="distributed"/>
      <protection hidden="1"/>
    </xf>
    <xf numFmtId="0" fontId="12" fillId="0" borderId="102" xfId="0" applyFont="1" applyBorder="1" applyAlignment="1" applyProtection="1">
      <alignment horizontal="distributed"/>
      <protection hidden="1"/>
    </xf>
    <xf numFmtId="0" fontId="4" fillId="0" borderId="103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104" xfId="0" applyFont="1" applyBorder="1" applyAlignment="1" applyProtection="1">
      <alignment horizontal="left" vertical="center"/>
      <protection hidden="1"/>
    </xf>
    <xf numFmtId="0" fontId="4" fillId="0" borderId="87" xfId="0" applyFont="1" applyBorder="1" applyAlignment="1" applyProtection="1">
      <alignment horizontal="left" vertical="center"/>
      <protection hidden="1"/>
    </xf>
    <xf numFmtId="0" fontId="14" fillId="7" borderId="93" xfId="0" applyFont="1" applyFill="1" applyBorder="1" applyAlignment="1" applyProtection="1">
      <alignment horizontal="center" wrapText="1"/>
      <protection hidden="1"/>
    </xf>
    <xf numFmtId="0" fontId="14" fillId="7" borderId="82" xfId="0" applyFont="1" applyFill="1" applyBorder="1" applyAlignment="1" applyProtection="1">
      <alignment horizontal="center"/>
      <protection hidden="1"/>
    </xf>
    <xf numFmtId="0" fontId="14" fillId="7" borderId="25" xfId="0" applyFont="1" applyFill="1" applyBorder="1" applyAlignment="1" applyProtection="1">
      <alignment horizontal="center"/>
      <protection hidden="1"/>
    </xf>
    <xf numFmtId="0" fontId="14" fillId="7" borderId="105" xfId="0" applyFont="1" applyFill="1" applyBorder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center"/>
      <protection hidden="1"/>
    </xf>
    <xf numFmtId="0" fontId="14" fillId="7" borderId="106" xfId="0" applyFont="1" applyFill="1" applyBorder="1" applyAlignment="1" applyProtection="1">
      <alignment horizontal="center"/>
      <protection hidden="1"/>
    </xf>
    <xf numFmtId="0" fontId="14" fillId="7" borderId="94" xfId="0" applyFont="1" applyFill="1" applyBorder="1" applyAlignment="1" applyProtection="1">
      <alignment horizontal="center"/>
      <protection hidden="1"/>
    </xf>
    <xf numFmtId="0" fontId="14" fillId="7" borderId="80" xfId="0" applyFont="1" applyFill="1" applyBorder="1" applyAlignment="1" applyProtection="1">
      <alignment horizontal="center"/>
      <protection hidden="1"/>
    </xf>
    <xf numFmtId="0" fontId="14" fillId="7" borderId="95" xfId="0" applyFont="1" applyFill="1" applyBorder="1" applyAlignment="1" applyProtection="1">
      <alignment horizontal="center"/>
      <protection hidden="1"/>
    </xf>
    <xf numFmtId="2" fontId="4" fillId="0" borderId="93" xfId="0" applyNumberFormat="1" applyFont="1" applyFill="1" applyBorder="1" applyAlignment="1" applyProtection="1">
      <alignment horizontal="distributed" vertical="center" shrinkToFit="1"/>
      <protection hidden="1"/>
    </xf>
    <xf numFmtId="2" fontId="4" fillId="0" borderId="82" xfId="0" applyNumberFormat="1" applyFont="1" applyFill="1" applyBorder="1" applyAlignment="1" applyProtection="1">
      <alignment horizontal="distributed" vertical="center" shrinkToFit="1"/>
      <protection hidden="1"/>
    </xf>
    <xf numFmtId="2" fontId="4" fillId="0" borderId="105" xfId="0" applyNumberFormat="1" applyFont="1" applyFill="1" applyBorder="1" applyAlignment="1" applyProtection="1">
      <alignment horizontal="distributed" vertical="center" shrinkToFit="1"/>
      <protection hidden="1"/>
    </xf>
    <xf numFmtId="2" fontId="4" fillId="0" borderId="0" xfId="0" applyNumberFormat="1" applyFont="1" applyFill="1" applyBorder="1" applyAlignment="1" applyProtection="1">
      <alignment horizontal="distributed" vertical="center" shrinkToFit="1"/>
      <protection hidden="1"/>
    </xf>
    <xf numFmtId="2" fontId="4" fillId="0" borderId="94" xfId="0" applyNumberFormat="1" applyFont="1" applyFill="1" applyBorder="1" applyAlignment="1" applyProtection="1">
      <alignment horizontal="distributed" vertical="center" shrinkToFit="1"/>
      <protection hidden="1"/>
    </xf>
    <xf numFmtId="2" fontId="4" fillId="0" borderId="80" xfId="0" applyNumberFormat="1" applyFont="1" applyFill="1" applyBorder="1" applyAlignment="1" applyProtection="1">
      <alignment horizontal="distributed" vertical="center" shrinkToFit="1"/>
      <protection hidden="1"/>
    </xf>
    <xf numFmtId="0" fontId="4" fillId="0" borderId="4" xfId="0" applyFont="1" applyBorder="1" applyAlignment="1" applyProtection="1">
      <alignment horizontal="distributed" vertical="center" shrinkToFit="1"/>
      <protection hidden="1"/>
    </xf>
    <xf numFmtId="0" fontId="4" fillId="0" borderId="96" xfId="0" applyFont="1" applyBorder="1" applyAlignment="1" applyProtection="1">
      <alignment horizontal="distributed" vertical="center" shrinkToFit="1"/>
      <protection hidden="1"/>
    </xf>
    <xf numFmtId="0" fontId="4" fillId="0" borderId="97" xfId="0" applyFont="1" applyBorder="1" applyAlignment="1" applyProtection="1">
      <alignment horizontal="distributed" vertical="center" shrinkToFit="1"/>
      <protection hidden="1"/>
    </xf>
    <xf numFmtId="0" fontId="4" fillId="0" borderId="65" xfId="0" applyFont="1" applyBorder="1" applyAlignment="1" applyProtection="1">
      <alignment horizontal="distributed" vertical="center" wrapText="1" shrinkToFit="1"/>
      <protection hidden="1"/>
    </xf>
    <xf numFmtId="193" fontId="13" fillId="0" borderId="66" xfId="0" applyNumberFormat="1" applyFont="1" applyBorder="1" applyAlignment="1" applyProtection="1">
      <alignment vertical="center"/>
      <protection hidden="1"/>
    </xf>
    <xf numFmtId="193" fontId="13" fillId="0" borderId="68" xfId="0" applyNumberFormat="1" applyFont="1" applyBorder="1" applyAlignment="1" applyProtection="1">
      <alignment vertical="center"/>
      <protection hidden="1"/>
    </xf>
    <xf numFmtId="0" fontId="12" fillId="0" borderId="107" xfId="0" applyFont="1" applyBorder="1" applyAlignment="1" applyProtection="1">
      <alignment horizontal="distributed"/>
      <protection hidden="1"/>
    </xf>
    <xf numFmtId="0" fontId="12" fillId="0" borderId="108" xfId="0" applyFont="1" applyBorder="1" applyAlignment="1" applyProtection="1">
      <alignment horizontal="distributed"/>
      <protection hidden="1"/>
    </xf>
    <xf numFmtId="0" fontId="12" fillId="0" borderId="109" xfId="0" applyFont="1" applyBorder="1" applyAlignment="1" applyProtection="1">
      <alignment horizontal="distributed"/>
      <protection hidden="1"/>
    </xf>
    <xf numFmtId="0" fontId="12" fillId="5" borderId="110" xfId="0" applyFont="1" applyFill="1" applyBorder="1" applyAlignment="1" applyProtection="1">
      <alignment horizontal="center" vertical="center"/>
      <protection hidden="1"/>
    </xf>
    <xf numFmtId="0" fontId="12" fillId="5" borderId="111" xfId="0" applyFont="1" applyFill="1" applyBorder="1" applyAlignment="1" applyProtection="1">
      <alignment horizontal="center" vertical="center"/>
      <protection hidden="1"/>
    </xf>
    <xf numFmtId="0" fontId="12" fillId="5" borderId="112" xfId="0" applyFont="1" applyFill="1" applyBorder="1" applyAlignment="1" applyProtection="1">
      <alignment horizontal="center" vertical="center"/>
      <protection hidden="1"/>
    </xf>
    <xf numFmtId="0" fontId="12" fillId="5" borderId="43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wrapText="1"/>
      <protection hidden="1"/>
    </xf>
    <xf numFmtId="0" fontId="12" fillId="5" borderId="113" xfId="0" applyFont="1" applyFill="1" applyBorder="1" applyAlignment="1" applyProtection="1">
      <alignment horizontal="center" vertical="center"/>
      <protection hidden="1"/>
    </xf>
    <xf numFmtId="0" fontId="12" fillId="5" borderId="114" xfId="0" applyFont="1" applyFill="1" applyBorder="1" applyAlignment="1" applyProtection="1">
      <alignment horizontal="center" vertical="center"/>
      <protection hidden="1"/>
    </xf>
    <xf numFmtId="0" fontId="14" fillId="5" borderId="2" xfId="0" applyFont="1" applyFill="1" applyBorder="1" applyAlignment="1" applyProtection="1">
      <alignment horizontal="center"/>
      <protection hidden="1"/>
    </xf>
    <xf numFmtId="0" fontId="14" fillId="5" borderId="83" xfId="0" applyFont="1" applyFill="1" applyBorder="1" applyAlignment="1" applyProtection="1">
      <alignment horizontal="center"/>
      <protection hidden="1"/>
    </xf>
    <xf numFmtId="0" fontId="14" fillId="5" borderId="75" xfId="0" applyFont="1" applyFill="1" applyBorder="1" applyAlignment="1" applyProtection="1">
      <alignment horizontal="center"/>
      <protection hidden="1"/>
    </xf>
    <xf numFmtId="0" fontId="47" fillId="0" borderId="0" xfId="0" applyFont="1" applyAlignment="1" applyProtection="1">
      <alignment/>
      <protection hidden="1"/>
    </xf>
    <xf numFmtId="0" fontId="12" fillId="0" borderId="93" xfId="20" applyFont="1" applyBorder="1" applyProtection="1">
      <alignment vertical="center"/>
      <protection hidden="1"/>
    </xf>
    <xf numFmtId="0" fontId="12" fillId="0" borderId="94" xfId="20" applyFont="1" applyBorder="1" applyProtection="1">
      <alignment vertical="center"/>
      <protection hidden="1"/>
    </xf>
    <xf numFmtId="0" fontId="51" fillId="0" borderId="115" xfId="20" applyNumberFormat="1" applyFont="1" applyFill="1" applyBorder="1" applyAlignment="1" applyProtection="1">
      <alignment horizontal="center" vertical="center"/>
      <protection hidden="1"/>
    </xf>
    <xf numFmtId="0" fontId="51" fillId="0" borderId="116" xfId="20" applyNumberFormat="1" applyFont="1" applyFill="1" applyBorder="1" applyAlignment="1" applyProtection="1">
      <alignment horizontal="center" vertical="center"/>
      <protection hidden="1"/>
    </xf>
    <xf numFmtId="0" fontId="30" fillId="0" borderId="27" xfId="20" applyFont="1" applyBorder="1" applyAlignment="1">
      <alignment horizontal="center" vertical="center"/>
      <protection/>
    </xf>
    <xf numFmtId="0" fontId="30" fillId="0" borderId="28" xfId="20" applyFont="1" applyBorder="1" applyAlignment="1">
      <alignment horizontal="center" vertical="center"/>
      <protection/>
    </xf>
    <xf numFmtId="183" fontId="17" fillId="0" borderId="81" xfId="20" applyNumberFormat="1" applyBorder="1" applyProtection="1">
      <alignment vertical="center"/>
      <protection hidden="1"/>
    </xf>
    <xf numFmtId="183" fontId="17" fillId="0" borderId="117" xfId="20" applyNumberFormat="1" applyBorder="1" applyProtection="1">
      <alignment vertical="center"/>
      <protection hidden="1"/>
    </xf>
    <xf numFmtId="0" fontId="23" fillId="0" borderId="118" xfId="20" applyFont="1" applyBorder="1" applyAlignment="1" applyProtection="1">
      <alignment horizontal="center" vertical="center" shrinkToFit="1"/>
      <protection hidden="1"/>
    </xf>
    <xf numFmtId="0" fontId="23" fillId="0" borderId="81" xfId="20" applyFont="1" applyBorder="1" applyAlignment="1" applyProtection="1">
      <alignment horizontal="center" vertical="center" shrinkToFit="1"/>
      <protection hidden="1"/>
    </xf>
    <xf numFmtId="0" fontId="23" fillId="0" borderId="119" xfId="20" applyFont="1" applyBorder="1" applyAlignment="1" applyProtection="1">
      <alignment horizontal="center" vertical="center" shrinkToFit="1"/>
      <protection hidden="1"/>
    </xf>
    <xf numFmtId="0" fontId="23" fillId="0" borderId="1" xfId="20" applyFont="1" applyBorder="1" applyAlignment="1" applyProtection="1">
      <alignment horizontal="center" vertical="center" shrinkToFit="1"/>
      <protection hidden="1"/>
    </xf>
    <xf numFmtId="183" fontId="17" fillId="0" borderId="1" xfId="20" applyNumberFormat="1" applyBorder="1" applyProtection="1">
      <alignment vertical="center"/>
      <protection hidden="1"/>
    </xf>
    <xf numFmtId="183" fontId="17" fillId="0" borderId="120" xfId="20" applyNumberFormat="1" applyBorder="1" applyProtection="1">
      <alignment vertical="center"/>
      <protection hidden="1"/>
    </xf>
    <xf numFmtId="183" fontId="17" fillId="0" borderId="121" xfId="20" applyNumberFormat="1" applyBorder="1" applyProtection="1">
      <alignment vertical="center"/>
      <protection hidden="1"/>
    </xf>
    <xf numFmtId="183" fontId="17" fillId="0" borderId="122" xfId="20" applyNumberFormat="1" applyBorder="1" applyProtection="1">
      <alignment vertical="center"/>
      <protection hidden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ACA_Airfoil" xfId="20"/>
  </cellStyles>
  <dxfs count="2">
    <dxf>
      <font>
        <color rgb="FFFF0000"/>
      </font>
      <border/>
    </dxf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'基本設計'!$N$52</c:f>
              <c:strCache>
                <c:ptCount val="1"/>
                <c:pt idx="0">
                  <c:v>翼厚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'基本設計'!$M$53:$M$156</c:f>
              <c:numCache/>
            </c:numRef>
          </c:xVal>
          <c:yVal>
            <c:numRef>
              <c:f>'基本設計'!$N$53:$N$156</c:f>
              <c:numCache/>
            </c:numRef>
          </c:yVal>
          <c:smooth val="1"/>
        </c:ser>
        <c:axId val="60792183"/>
        <c:axId val="52100876"/>
      </c:scatterChart>
      <c:valAx>
        <c:axId val="60792183"/>
        <c:scaling>
          <c:orientation val="minMax"/>
          <c:max val="36"/>
          <c:min val="-16"/>
        </c:scaling>
        <c:axPos val="b"/>
        <c:majorGridlines/>
        <c:delete val="0"/>
        <c:numFmt formatCode="0.0" sourceLinked="0"/>
        <c:majorTickMark val="none"/>
        <c:minorTickMark val="none"/>
        <c:tickLblPos val="low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2100876"/>
        <c:crosses val="autoZero"/>
        <c:crossBetween val="midCat"/>
        <c:dispUnits/>
        <c:majorUnit val="2"/>
        <c:minorUnit val="1"/>
      </c:valAx>
      <c:valAx>
        <c:axId val="52100876"/>
        <c:scaling>
          <c:orientation val="minMax"/>
          <c:max val="5"/>
          <c:min val="-5"/>
        </c:scaling>
        <c:axPos val="l"/>
        <c:majorGridlines/>
        <c:delete val="0"/>
        <c:numFmt formatCode="0.0" sourceLinked="0"/>
        <c:majorTickMark val="in"/>
        <c:minorTickMark val="none"/>
        <c:tickLblPos val="low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07921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'基本設計'!$O$20</c:f>
              <c:strCache>
                <c:ptCount val="1"/>
                <c:pt idx="0">
                  <c:v>Ｙ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'基本設計'!$N$21:$N$29</c:f>
              <c:numCache>
                <c:ptCount val="9"/>
                <c:pt idx="0">
                  <c:v>1E-07</c:v>
                </c:pt>
                <c:pt idx="1">
                  <c:v>1E-07</c:v>
                </c:pt>
                <c:pt idx="2">
                  <c:v>56.0000001</c:v>
                </c:pt>
                <c:pt idx="3">
                  <c:v>56.0000001</c:v>
                </c:pt>
                <c:pt idx="4">
                  <c:v>56.0000001</c:v>
                </c:pt>
                <c:pt idx="5">
                  <c:v>1E-07</c:v>
                </c:pt>
                <c:pt idx="6">
                  <c:v>1E-07</c:v>
                </c:pt>
                <c:pt idx="7">
                  <c:v>1E-07</c:v>
                </c:pt>
                <c:pt idx="8">
                  <c:v>56.0000001</c:v>
                </c:pt>
              </c:numCache>
            </c:numRef>
          </c:xVal>
          <c:yVal>
            <c:numRef>
              <c:f>'基本設計'!$O$21:$O$29</c:f>
              <c:numCache>
                <c:ptCount val="9"/>
                <c:pt idx="0">
                  <c:v>0.013041573971551257</c:v>
                </c:pt>
                <c:pt idx="1">
                  <c:v>-9.63000321</c:v>
                </c:pt>
                <c:pt idx="2">
                  <c:v>1.3512634402083217</c:v>
                </c:pt>
                <c:pt idx="3">
                  <c:v>7.629756773074534</c:v>
                </c:pt>
                <c:pt idx="4">
                  <c:v>22.252693303994278</c:v>
                </c:pt>
                <c:pt idx="5">
                  <c:v>22.472192896580346</c:v>
                </c:pt>
                <c:pt idx="6">
                  <c:v>0.013041573971551257</c:v>
                </c:pt>
                <c:pt idx="7">
                  <c:v>0.013041573971551257</c:v>
                </c:pt>
                <c:pt idx="8">
                  <c:v>7.629756773074534</c:v>
                </c:pt>
              </c:numCache>
            </c:numRef>
          </c:yVal>
          <c:smooth val="1"/>
        </c:ser>
        <c:axId val="6222749"/>
        <c:axId val="13786874"/>
      </c:scatterChart>
      <c:valAx>
        <c:axId val="6222749"/>
        <c:scaling>
          <c:orientation val="minMax"/>
          <c:max val="100"/>
        </c:scaling>
        <c:axPos val="t"/>
        <c:majorGridlines/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786874"/>
        <c:crosses val="autoZero"/>
        <c:crossBetween val="midCat"/>
        <c:dispUnits/>
        <c:majorUnit val="5"/>
        <c:minorUnit val="1"/>
      </c:valAx>
      <c:valAx>
        <c:axId val="13786874"/>
        <c:scaling>
          <c:orientation val="maxMin"/>
          <c:max val="34"/>
          <c:min val="-16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222749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931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'NACA 4-Disit'!$J$27</c:f>
              <c:strCache>
                <c:ptCount val="1"/>
                <c:pt idx="0">
                  <c:v>yU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'NACA 4-Disit'!$I$28:$I$53</c:f>
              <c:numCache/>
            </c:numRef>
          </c:xVal>
          <c:yVal>
            <c:numRef>
              <c:f>'NACA 4-Disit'!$J$28:$J$53</c:f>
              <c:numCache/>
            </c:numRef>
          </c:yVal>
          <c:smooth val="1"/>
        </c:ser>
        <c:ser>
          <c:idx val="1"/>
          <c:order val="1"/>
          <c:tx>
            <c:strRef>
              <c:f>'NACA 4-Disit'!$L$27</c:f>
              <c:strCache>
                <c:ptCount val="1"/>
                <c:pt idx="0">
                  <c:v>yL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'NACA 4-Disit'!$K$28:$K$53</c:f>
              <c:numCache/>
            </c:numRef>
          </c:xVal>
          <c:yVal>
            <c:numRef>
              <c:f>'NACA 4-Disit'!$L$28:$L$53</c:f>
              <c:numCache/>
            </c:numRef>
          </c:yVal>
          <c:smooth val="1"/>
        </c:ser>
        <c:ser>
          <c:idx val="2"/>
          <c:order val="2"/>
          <c:tx>
            <c:strRef>
              <c:f>'NACA 4-Disit'!$C$27</c:f>
              <c:strCache>
                <c:ptCount val="1"/>
                <c:pt idx="0">
                  <c:v>yc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'NACA 4-Disit'!$A$28:$A$53</c:f>
              <c:numCache/>
            </c:numRef>
          </c:xVal>
          <c:yVal>
            <c:numRef>
              <c:f>'NACA 4-Disit'!$C$28:$C$53</c:f>
              <c:numCache/>
            </c:numRef>
          </c:yVal>
          <c:smooth val="1"/>
        </c:ser>
        <c:axId val="45011635"/>
        <c:axId val="48280344"/>
      </c:scatterChart>
      <c:valAx>
        <c:axId val="45011635"/>
        <c:scaling>
          <c:orientation val="minMax"/>
          <c:max val="1"/>
          <c:min val="0"/>
        </c:scaling>
        <c:axPos val="b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8280344"/>
        <c:crosses val="autoZero"/>
        <c:crossBetween val="midCat"/>
        <c:dispUnits/>
        <c:majorUnit val="0.1"/>
        <c:minorUnit val="0.05"/>
      </c:valAx>
      <c:valAx>
        <c:axId val="48280344"/>
        <c:scaling>
          <c:orientation val="minMax"/>
          <c:max val="0.25"/>
          <c:min val="-0.25"/>
        </c:scaling>
        <c:axPos val="l"/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5011635"/>
        <c:crosses val="autoZero"/>
        <c:crossBetween val="midCat"/>
        <c:dispUnits/>
        <c:majorUnit val="0.05"/>
        <c:min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625"/>
          <c:y val="0.08925"/>
          <c:w val="0.287"/>
          <c:h val="0.07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Thickness!$B$31</c:f>
              <c:strCache>
                <c:ptCount val="1"/>
                <c:pt idx="0">
                  <c:v>yu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Thickness!$A$33:$A$58</c:f>
              <c:numCache/>
            </c:numRef>
          </c:xVal>
          <c:yVal>
            <c:numRef>
              <c:f>Thickness!$B$33:$B$58</c:f>
              <c:numCache/>
            </c:numRef>
          </c:yVal>
          <c:smooth val="1"/>
        </c:ser>
        <c:ser>
          <c:idx val="1"/>
          <c:order val="1"/>
          <c:tx>
            <c:strRef>
              <c:f>Thickness!$C$31</c:f>
              <c:strCache>
                <c:ptCount val="1"/>
                <c:pt idx="0">
                  <c:v>yl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Thickness!$A$33:$A$58</c:f>
              <c:numCache/>
            </c:numRef>
          </c:xVal>
          <c:yVal>
            <c:numRef>
              <c:f>Thickness!$C$33:$C$58</c:f>
              <c:numCache/>
            </c:numRef>
          </c:yVal>
          <c:smooth val="1"/>
        </c:ser>
        <c:axId val="23664697"/>
        <c:axId val="39205606"/>
      </c:scatterChart>
      <c:valAx>
        <c:axId val="23664697"/>
        <c:scaling>
          <c:orientation val="minMax"/>
          <c:max val="1"/>
        </c:scaling>
        <c:axPos val="b"/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9205606"/>
        <c:crosses val="autoZero"/>
        <c:crossBetween val="midCat"/>
        <c:dispUnits/>
        <c:minorUnit val="0.05"/>
      </c:valAx>
      <c:valAx>
        <c:axId val="39205606"/>
        <c:scaling>
          <c:orientation val="minMax"/>
          <c:max val="0.15"/>
          <c:min val="-0.15"/>
        </c:scaling>
        <c:axPos val="l"/>
        <c:majorGridlines/>
        <c:delete val="0"/>
        <c:numFmt formatCode="#,##0.00_ ;[Red]\-#,##0.0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3664697"/>
        <c:crosses val="autoZero"/>
        <c:crossBetween val="midCat"/>
        <c:dispUnits/>
        <c:majorUnit val="0.05"/>
        <c:minorUnit val="0.00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0825"/>
          <c:w val="0.14"/>
          <c:h val="0.09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latin typeface="ＭＳ ゴシック"/>
              <a:ea typeface="ＭＳ ゴシック"/>
              <a:cs typeface="ＭＳ 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'Mean-Line'!$C$23</c:f>
              <c:strCache>
                <c:ptCount val="1"/>
                <c:pt idx="0">
                  <c:v>yc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'Mean-Line'!$B$24:$B$49</c:f>
              <c:numCache/>
            </c:numRef>
          </c:xVal>
          <c:yVal>
            <c:numRef>
              <c:f>'Mean-Line'!$C$24:$C$49</c:f>
              <c:numCache/>
            </c:numRef>
          </c:yVal>
          <c:smooth val="1"/>
        </c:ser>
        <c:axId val="39910831"/>
        <c:axId val="49078756"/>
      </c:scatterChart>
      <c:valAx>
        <c:axId val="39910831"/>
        <c:scaling>
          <c:orientation val="minMax"/>
          <c:max val="1"/>
          <c:min val="0"/>
        </c:scaling>
        <c:axPos val="b"/>
        <c:majorGridlines/>
        <c:delete val="0"/>
        <c:numFmt formatCode="0.00_ 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9078756"/>
        <c:crosses val="autoZero"/>
        <c:crossBetween val="midCat"/>
        <c:dispUnits/>
        <c:majorUnit val="0.1"/>
        <c:minorUnit val="0.05"/>
      </c:valAx>
      <c:valAx>
        <c:axId val="49078756"/>
        <c:scaling>
          <c:orientation val="minMax"/>
          <c:max val="0.1"/>
        </c:scaling>
        <c:axPos val="l"/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9910831"/>
        <c:crosses val="autoZero"/>
        <c:crossBetween val="midCat"/>
        <c:dispUnits/>
        <c:majorUnit val="0.02"/>
        <c:minorUnit val="0.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</c:legendEntry>
      <c:layout>
        <c:manualLayout>
          <c:xMode val="edge"/>
          <c:yMode val="edge"/>
          <c:x val="0.80575"/>
          <c:y val="0.10675"/>
          <c:w val="0.1395"/>
          <c:h val="0.27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4.emf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5267325" y="1028700"/>
        <a:ext cx="110013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21</xdr:row>
      <xdr:rowOff>371475</xdr:rowOff>
    </xdr:from>
    <xdr:to>
      <xdr:col>1</xdr:col>
      <xdr:colOff>752475</xdr:colOff>
      <xdr:row>24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029325"/>
          <a:ext cx="685800" cy="781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14</xdr:row>
      <xdr:rowOff>0</xdr:rowOff>
    </xdr:from>
    <xdr:to>
      <xdr:col>40</xdr:col>
      <xdr:colOff>0</xdr:colOff>
      <xdr:row>41</xdr:row>
      <xdr:rowOff>85725</xdr:rowOff>
    </xdr:to>
    <xdr:graphicFrame>
      <xdr:nvGraphicFramePr>
        <xdr:cNvPr id="3" name="Chart 12"/>
        <xdr:cNvGraphicFramePr/>
      </xdr:nvGraphicFramePr>
      <xdr:xfrm>
        <a:off x="5267325" y="3857625"/>
        <a:ext cx="18087975" cy="669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13</xdr:row>
      <xdr:rowOff>0</xdr:rowOff>
    </xdr:from>
    <xdr:to>
      <xdr:col>13</xdr:col>
      <xdr:colOff>466725</xdr:colOff>
      <xdr:row>14</xdr:row>
      <xdr:rowOff>66675</xdr:rowOff>
    </xdr:to>
    <xdr:sp>
      <xdr:nvSpPr>
        <xdr:cNvPr id="4" name="TextBox 27"/>
        <xdr:cNvSpPr txBox="1">
          <a:spLocks noChangeArrowheads="1"/>
        </xdr:cNvSpPr>
      </xdr:nvSpPr>
      <xdr:spPr>
        <a:xfrm>
          <a:off x="5638800" y="3600450"/>
          <a:ext cx="2238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ＭＳ ゴシック"/>
              <a:ea typeface="ＭＳ ゴシック"/>
              <a:cs typeface="ＭＳ ゴシック"/>
            </a:rPr>
            <a:t>主翼の概略平面形</a:t>
          </a:r>
        </a:p>
      </xdr:txBody>
    </xdr:sp>
    <xdr:clientData/>
  </xdr:twoCellAnchor>
  <xdr:twoCellAnchor>
    <xdr:from>
      <xdr:col>10</xdr:col>
      <xdr:colOff>0</xdr:colOff>
      <xdr:row>1</xdr:row>
      <xdr:rowOff>209550</xdr:rowOff>
    </xdr:from>
    <xdr:to>
      <xdr:col>13</xdr:col>
      <xdr:colOff>495300</xdr:colOff>
      <xdr:row>3</xdr:row>
      <xdr:rowOff>0</xdr:rowOff>
    </xdr:to>
    <xdr:sp>
      <xdr:nvSpPr>
        <xdr:cNvPr id="5" name="TextBox 28"/>
        <xdr:cNvSpPr txBox="1">
          <a:spLocks noChangeArrowheads="1"/>
        </xdr:cNvSpPr>
      </xdr:nvSpPr>
      <xdr:spPr>
        <a:xfrm>
          <a:off x="5638800" y="723900"/>
          <a:ext cx="2266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ゴシック"/>
              <a:ea typeface="ＭＳ ゴシック"/>
              <a:cs typeface="ＭＳ ゴシック"/>
            </a:rPr>
            <a:t>最大部の概略翼型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11</xdr:col>
      <xdr:colOff>971550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0" y="428625"/>
        <a:ext cx="80200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1028700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0" y="485775"/>
        <a:ext cx="86963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762000</xdr:colOff>
      <xdr:row>9</xdr:row>
      <xdr:rowOff>38100</xdr:rowOff>
    </xdr:to>
    <xdr:graphicFrame>
      <xdr:nvGraphicFramePr>
        <xdr:cNvPr id="1" name="Chart 3"/>
        <xdr:cNvGraphicFramePr/>
      </xdr:nvGraphicFramePr>
      <xdr:xfrm>
        <a:off x="0" y="714375"/>
        <a:ext cx="7810500" cy="102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156"/>
  <sheetViews>
    <sheetView showGridLines="0" showZeros="0" tabSelected="1" zoomScaleSheetLayoutView="100" workbookViewId="0" topLeftCell="B1">
      <pane ySplit="1" topLeftCell="BM2" activePane="bottomLeft" state="frozen"/>
      <selection pane="topLeft" activeCell="B1" sqref="B1"/>
      <selection pane="bottomLeft" activeCell="B2" sqref="B2:E2"/>
    </sheetView>
  </sheetViews>
  <sheetFormatPr defaultColWidth="9.00390625" defaultRowHeight="12.75"/>
  <cols>
    <col min="1" max="1" width="13.00390625" style="1" hidden="1" customWidth="1"/>
    <col min="2" max="2" width="11.00390625" style="1" customWidth="1"/>
    <col min="3" max="5" width="7.25390625" style="1" customWidth="1"/>
    <col min="6" max="6" width="6.375" style="1" customWidth="1"/>
    <col min="7" max="7" width="13.875" style="1" bestFit="1" customWidth="1"/>
    <col min="8" max="8" width="14.125" style="1" bestFit="1" customWidth="1"/>
    <col min="9" max="9" width="2.00390625" style="1" customWidth="1"/>
    <col min="10" max="10" width="4.875" style="1" customWidth="1"/>
    <col min="11" max="40" width="7.75390625" style="1" customWidth="1"/>
    <col min="41" max="41" width="2.75390625" style="1" customWidth="1"/>
    <col min="42" max="42" width="4.75390625" style="1" hidden="1" customWidth="1"/>
    <col min="43" max="43" width="9.75390625" style="1" hidden="1" customWidth="1"/>
    <col min="44" max="44" width="8.75390625" style="1" hidden="1" customWidth="1"/>
    <col min="45" max="16384" width="0" style="1" hidden="1" customWidth="1"/>
  </cols>
  <sheetData>
    <row r="1" spans="2:41" ht="40.5" customHeight="1" thickBot="1">
      <c r="B1" s="199" t="s">
        <v>103</v>
      </c>
      <c r="C1" s="199"/>
      <c r="D1" s="199"/>
      <c r="E1" s="199"/>
      <c r="G1" s="247" t="s">
        <v>110</v>
      </c>
      <c r="H1" s="247"/>
      <c r="I1" s="228"/>
      <c r="K1" s="225"/>
      <c r="L1" s="225"/>
      <c r="M1" s="226">
        <f>G17-(G17-1)</f>
        <v>1</v>
      </c>
      <c r="N1" s="226"/>
      <c r="O1" s="225">
        <f>IF(OR(M1+1&gt;$G$17,M1=0),0,M1+1)</f>
        <v>2</v>
      </c>
      <c r="P1" s="225"/>
      <c r="Q1" s="225">
        <f>IF(OR(O1+1&gt;$G$17,O1=0),0,O1+1)</f>
        <v>3</v>
      </c>
      <c r="R1" s="225"/>
      <c r="S1" s="225">
        <f>IF(OR(Q1+1&gt;$G$17,Q1=0),0,Q1+1)</f>
        <v>4</v>
      </c>
      <c r="T1" s="225"/>
      <c r="U1" s="225">
        <f>IF(OR(S1+1&gt;$G$17,S1=0),0,S1+1)</f>
        <v>5</v>
      </c>
      <c r="V1" s="225"/>
      <c r="W1" s="225">
        <f>IF(OR(U1+1&gt;$G$17,U1=0),0,U1+1)</f>
        <v>6</v>
      </c>
      <c r="X1" s="225"/>
      <c r="Y1" s="225">
        <f>IF(OR(W1+1&gt;$G$17,W1=0),0,W1+1)</f>
        <v>7</v>
      </c>
      <c r="Z1" s="225"/>
      <c r="AA1" s="225">
        <f>IF(OR(Y1+1&gt;$G$17,Y1=0),0,Y1+1)</f>
        <v>8</v>
      </c>
      <c r="AB1" s="225"/>
      <c r="AC1" s="225">
        <f>IF(OR(AA1+1&gt;$G$17,AA1=0),0,AA1+1)</f>
        <v>0</v>
      </c>
      <c r="AD1" s="225"/>
      <c r="AE1" s="225">
        <f>IF(OR(AC1+1&gt;$G$17,AC1=0),0,AC1+1)</f>
        <v>0</v>
      </c>
      <c r="AF1" s="225"/>
      <c r="AG1" s="225">
        <f>IF(OR(AE1+1&gt;$G$17,AE1=0),0,AE1+1)</f>
        <v>0</v>
      </c>
      <c r="AH1" s="225"/>
      <c r="AI1" s="225">
        <f>IF(OR(AG1+1&gt;$G$17,AG1=0),0,AG1+1)</f>
        <v>0</v>
      </c>
      <c r="AJ1" s="225"/>
      <c r="AK1" s="225">
        <f>IF(OR(AI1+1&gt;$G$17,AI1=0),0,AI1+1)</f>
        <v>0</v>
      </c>
      <c r="AL1" s="225"/>
      <c r="AM1" s="225">
        <f>IF(OR(AK1+1&gt;$G$17,AK1=0),0,AK1+1)</f>
        <v>0</v>
      </c>
      <c r="AN1" s="225"/>
      <c r="AO1" s="225"/>
    </row>
    <row r="2" spans="1:8" ht="20.25" customHeight="1" thickBot="1">
      <c r="A2" s="219"/>
      <c r="B2" s="253" t="s">
        <v>109</v>
      </c>
      <c r="C2" s="254"/>
      <c r="D2" s="254"/>
      <c r="E2" s="255"/>
      <c r="F2" s="44" t="s">
        <v>24</v>
      </c>
      <c r="G2" s="45" t="s">
        <v>8</v>
      </c>
      <c r="H2" s="46" t="s">
        <v>9</v>
      </c>
    </row>
    <row r="3" spans="1:8" ht="20.25" customHeight="1">
      <c r="A3" s="219">
        <f>ROUND(G3,2)</f>
        <v>30</v>
      </c>
      <c r="B3" s="304" t="s">
        <v>30</v>
      </c>
      <c r="C3" s="305"/>
      <c r="D3" s="305"/>
      <c r="E3" s="306"/>
      <c r="F3" s="202" t="s">
        <v>32</v>
      </c>
      <c r="G3" s="218">
        <f>ROUND(G7/G8,2)</f>
        <v>30</v>
      </c>
      <c r="H3" s="47">
        <f>(H9-H10)*G12/100</f>
        <v>30.74</v>
      </c>
    </row>
    <row r="4" spans="1:8" ht="20.25" customHeight="1">
      <c r="A4" s="220">
        <f>ROUND(G4,2)</f>
        <v>4.85</v>
      </c>
      <c r="B4" s="246" t="s">
        <v>0</v>
      </c>
      <c r="C4" s="244"/>
      <c r="D4" s="244"/>
      <c r="E4" s="251"/>
      <c r="F4" s="64"/>
      <c r="G4" s="33">
        <v>4.85</v>
      </c>
      <c r="H4" s="48">
        <f>ROUND(H9/G12,2)</f>
        <v>4.53</v>
      </c>
    </row>
    <row r="5" spans="1:8" ht="20.25" customHeight="1">
      <c r="A5" s="219">
        <f>ROUND(G5,2)</f>
        <v>0.65</v>
      </c>
      <c r="B5" s="246" t="s">
        <v>4</v>
      </c>
      <c r="C5" s="244"/>
      <c r="D5" s="244"/>
      <c r="E5" s="251"/>
      <c r="F5" s="64"/>
      <c r="G5" s="38">
        <v>0.65</v>
      </c>
      <c r="H5" s="49">
        <f>H14/H13</f>
        <v>0.6510903426791277</v>
      </c>
    </row>
    <row r="6" spans="1:8" ht="20.25" customHeight="1">
      <c r="A6" s="219">
        <f>(PI()/180)*H6</f>
        <v>0.13526301702956053</v>
      </c>
      <c r="B6" s="246" t="s">
        <v>1</v>
      </c>
      <c r="C6" s="244"/>
      <c r="D6" s="244"/>
      <c r="E6" s="251"/>
      <c r="F6" s="64" t="s">
        <v>33</v>
      </c>
      <c r="G6" s="209">
        <v>7.75</v>
      </c>
      <c r="H6" s="50">
        <f>G6</f>
        <v>7.75</v>
      </c>
    </row>
    <row r="7" spans="1:8" ht="20.25" customHeight="1">
      <c r="A7" s="221">
        <f>ROUND(G7,2)</f>
        <v>1800</v>
      </c>
      <c r="B7" s="246" t="s">
        <v>2</v>
      </c>
      <c r="C7" s="244"/>
      <c r="D7" s="244"/>
      <c r="E7" s="251"/>
      <c r="F7" s="64" t="s">
        <v>34</v>
      </c>
      <c r="G7" s="210">
        <v>1800</v>
      </c>
      <c r="H7" s="51">
        <f>A7</f>
        <v>1800</v>
      </c>
    </row>
    <row r="8" spans="1:8" ht="20.25" customHeight="1">
      <c r="A8" s="219">
        <f>ROUND(G8,2)</f>
        <v>60</v>
      </c>
      <c r="B8" s="246" t="s">
        <v>3</v>
      </c>
      <c r="C8" s="244"/>
      <c r="D8" s="244"/>
      <c r="E8" s="251"/>
      <c r="F8" s="65" t="s">
        <v>41</v>
      </c>
      <c r="G8" s="34">
        <v>60</v>
      </c>
      <c r="H8" s="66">
        <f>H7/H3</f>
        <v>58.555627846454136</v>
      </c>
    </row>
    <row r="9" spans="1:8" ht="20.25" customHeight="1">
      <c r="A9" s="222"/>
      <c r="B9" s="246" t="s">
        <v>5</v>
      </c>
      <c r="C9" s="244"/>
      <c r="D9" s="244"/>
      <c r="E9" s="251"/>
      <c r="F9" s="64" t="s">
        <v>35</v>
      </c>
      <c r="G9" s="211">
        <v>120</v>
      </c>
      <c r="H9" s="50">
        <f>ROUNDUP(G9/2,1)*2</f>
        <v>120</v>
      </c>
    </row>
    <row r="10" spans="1:8" ht="20.25" customHeight="1">
      <c r="A10" s="222"/>
      <c r="B10" s="246" t="s">
        <v>26</v>
      </c>
      <c r="C10" s="244"/>
      <c r="D10" s="244"/>
      <c r="E10" s="251"/>
      <c r="F10" s="64" t="s">
        <v>36</v>
      </c>
      <c r="G10" s="211">
        <v>4</v>
      </c>
      <c r="H10" s="50">
        <f>G10</f>
        <v>4</v>
      </c>
    </row>
    <row r="11" spans="1:8" ht="20.25" customHeight="1">
      <c r="A11" s="219"/>
      <c r="B11" s="246" t="s">
        <v>12</v>
      </c>
      <c r="C11" s="244"/>
      <c r="D11" s="244"/>
      <c r="E11" s="251"/>
      <c r="F11" s="64" t="s">
        <v>36</v>
      </c>
      <c r="G11" s="203"/>
      <c r="H11" s="50">
        <f>ROUND(H9/2,1)-H10</f>
        <v>56</v>
      </c>
    </row>
    <row r="12" spans="1:8" ht="20.25" customHeight="1">
      <c r="A12" s="219"/>
      <c r="B12" s="246" t="s">
        <v>17</v>
      </c>
      <c r="C12" s="244"/>
      <c r="D12" s="244"/>
      <c r="E12" s="251"/>
      <c r="F12" s="64" t="s">
        <v>37</v>
      </c>
      <c r="G12" s="211">
        <v>26.5</v>
      </c>
      <c r="H12" s="50">
        <f>ROUND((H3/H4)^0.5*10,1)</f>
        <v>26</v>
      </c>
    </row>
    <row r="13" spans="1:8" ht="20.25" customHeight="1">
      <c r="A13" s="219"/>
      <c r="B13" s="246" t="s">
        <v>7</v>
      </c>
      <c r="C13" s="244"/>
      <c r="D13" s="244"/>
      <c r="E13" s="251"/>
      <c r="F13" s="64" t="s">
        <v>35</v>
      </c>
      <c r="G13" s="3"/>
      <c r="H13" s="50">
        <f>ROUND(2*G12/(1+G5),1)</f>
        <v>32.1</v>
      </c>
    </row>
    <row r="14" spans="1:8" ht="20.25" customHeight="1">
      <c r="A14" s="219"/>
      <c r="B14" s="246" t="s">
        <v>6</v>
      </c>
      <c r="C14" s="244"/>
      <c r="D14" s="244"/>
      <c r="E14" s="251"/>
      <c r="F14" s="64" t="s">
        <v>35</v>
      </c>
      <c r="G14" s="3"/>
      <c r="H14" s="50">
        <f>ROUND(H13*G5,1)</f>
        <v>20.9</v>
      </c>
    </row>
    <row r="15" spans="1:8" ht="20.25" customHeight="1">
      <c r="A15" s="219">
        <f>H11/G16</f>
        <v>7</v>
      </c>
      <c r="B15" s="246" t="s">
        <v>25</v>
      </c>
      <c r="C15" s="244"/>
      <c r="D15" s="244"/>
      <c r="E15" s="251"/>
      <c r="F15" s="64" t="s">
        <v>38</v>
      </c>
      <c r="G15" s="3"/>
      <c r="H15" s="48">
        <f>N64-N93</f>
        <v>4.174330870896353</v>
      </c>
    </row>
    <row r="16" spans="1:8" ht="20.25" customHeight="1">
      <c r="A16" s="222">
        <f>MOD(H11,G16)</f>
        <v>0</v>
      </c>
      <c r="B16" s="246" t="s">
        <v>19</v>
      </c>
      <c r="C16" s="244"/>
      <c r="D16" s="244"/>
      <c r="E16" s="251"/>
      <c r="F16" s="64" t="s">
        <v>39</v>
      </c>
      <c r="G16" s="35">
        <v>8</v>
      </c>
      <c r="H16" s="50">
        <f>G16</f>
        <v>8</v>
      </c>
    </row>
    <row r="17" spans="1:8" ht="20.25" customHeight="1">
      <c r="A17" s="219">
        <f>(H13-H14)/H11</f>
        <v>0.20000000000000004</v>
      </c>
      <c r="B17" s="246" t="s">
        <v>11</v>
      </c>
      <c r="C17" s="244"/>
      <c r="D17" s="244"/>
      <c r="E17" s="251"/>
      <c r="F17" s="64" t="s">
        <v>40</v>
      </c>
      <c r="G17" s="206">
        <f>ROUNDUP(H11/G16,0)+1</f>
        <v>8</v>
      </c>
      <c r="H17" s="204">
        <f>G17*2</f>
        <v>16</v>
      </c>
    </row>
    <row r="18" spans="1:15" ht="20.25" customHeight="1">
      <c r="A18" s="223"/>
      <c r="B18" s="246" t="s">
        <v>10</v>
      </c>
      <c r="C18" s="244"/>
      <c r="D18" s="244"/>
      <c r="E18" s="251"/>
      <c r="F18" s="64"/>
      <c r="G18" s="238" t="s">
        <v>108</v>
      </c>
      <c r="H18" s="240" t="str">
        <f>WIDECHAR(G23&amp;IF(G23=0,0,A23)&amp;RIGHT("00"&amp;G25,2))</f>
        <v>２２１３</v>
      </c>
      <c r="M18" s="39">
        <f>MAX(M1:AN1)</f>
        <v>8</v>
      </c>
      <c r="N18" s="227">
        <f>2*M18+11</f>
        <v>27</v>
      </c>
      <c r="O18" s="36" t="str">
        <f>IF(N18&lt;=26,MID("ABCDEFGHIJKLMNOPQRSTUVWXYZ",N18,1),MID("ABCDEFGHIJKLMNOPQRSTUVWXYZ",INT(N18/26),1)&amp;MID("ABCDEFGHIJKLMNOPQRSTUVWXYZ",MOD(N18,26),1))</f>
        <v>AA</v>
      </c>
    </row>
    <row r="19" spans="1:15" ht="20.25" customHeight="1">
      <c r="A19" s="223"/>
      <c r="B19" s="246" t="s">
        <v>95</v>
      </c>
      <c r="C19" s="244"/>
      <c r="D19" s="244"/>
      <c r="E19" s="251"/>
      <c r="F19" s="64" t="s">
        <v>96</v>
      </c>
      <c r="G19" s="216"/>
      <c r="H19" s="217">
        <v>0.9</v>
      </c>
      <c r="N19" s="40"/>
      <c r="O19" s="40"/>
    </row>
    <row r="20" spans="1:15" ht="20.25" customHeight="1" thickBot="1">
      <c r="A20" s="223"/>
      <c r="B20" s="332" t="s">
        <v>97</v>
      </c>
      <c r="C20" s="333"/>
      <c r="D20" s="333"/>
      <c r="E20" s="334"/>
      <c r="F20" s="207" t="s">
        <v>98</v>
      </c>
      <c r="G20" s="205"/>
      <c r="H20" s="208">
        <f>(H7/H19)/1000</f>
        <v>2</v>
      </c>
      <c r="M20" s="36" t="s">
        <v>29</v>
      </c>
      <c r="N20" s="36" t="s">
        <v>27</v>
      </c>
      <c r="O20" s="36" t="s">
        <v>28</v>
      </c>
    </row>
    <row r="21" spans="1:15" ht="20.25" customHeight="1" thickBot="1">
      <c r="A21" s="224"/>
      <c r="G21" s="200">
        <f>IF(G17&gt;14,"リブ間隔が狭すぎます",MOD(H11,H16))</f>
        <v>0</v>
      </c>
      <c r="M21" s="43">
        <v>1</v>
      </c>
      <c r="N21" s="2">
        <f>M51</f>
        <v>1E-07</v>
      </c>
      <c r="O21" s="37">
        <f>M64</f>
        <v>0.013041573971551257</v>
      </c>
    </row>
    <row r="22" spans="1:15" ht="30" customHeight="1" thickBot="1">
      <c r="A22" s="219"/>
      <c r="B22" s="241"/>
      <c r="C22" s="342" t="s">
        <v>102</v>
      </c>
      <c r="D22" s="343"/>
      <c r="E22" s="343"/>
      <c r="F22" s="343"/>
      <c r="G22" s="343"/>
      <c r="H22" s="344"/>
      <c r="M22" s="1">
        <v>2</v>
      </c>
      <c r="N22" s="2">
        <f>M51</f>
        <v>1E-07</v>
      </c>
      <c r="O22" s="37">
        <f>M53</f>
        <v>-9.63000321</v>
      </c>
    </row>
    <row r="23" spans="1:15" ht="30" customHeight="1">
      <c r="A23" s="219">
        <f>IF(G23=0,0,$A24)</f>
        <v>2</v>
      </c>
      <c r="B23" s="242"/>
      <c r="C23" s="335" t="s">
        <v>105</v>
      </c>
      <c r="D23" s="336"/>
      <c r="E23" s="336"/>
      <c r="F23" s="336"/>
      <c r="G23" s="237">
        <v>2</v>
      </c>
      <c r="H23" s="230"/>
      <c r="M23" s="1">
        <v>3</v>
      </c>
      <c r="N23" s="41">
        <f ca="1">INDIRECT($O$18&amp;"51",1)</f>
        <v>56.0000001</v>
      </c>
      <c r="O23" s="42">
        <f ca="1">INDIRECT($O$18&amp;"53",1)</f>
        <v>1.3512634402083217</v>
      </c>
    </row>
    <row r="24" spans="1:15" ht="30" customHeight="1">
      <c r="A24" s="219">
        <v>2</v>
      </c>
      <c r="B24" s="242"/>
      <c r="C24" s="337" t="s">
        <v>106</v>
      </c>
      <c r="D24" s="338"/>
      <c r="E24" s="338"/>
      <c r="F24" s="338"/>
      <c r="G24" s="236">
        <f>IF(G23=0,0,A24*10)</f>
        <v>20</v>
      </c>
      <c r="H24" s="231"/>
      <c r="M24" s="43">
        <v>4</v>
      </c>
      <c r="N24" s="41">
        <f ca="1">INDIRECT($O$18&amp;"51",1)</f>
        <v>56.0000001</v>
      </c>
      <c r="O24" s="42">
        <f ca="1">INDIRECT($O$18&amp;"64",1)</f>
        <v>7.629756773074534</v>
      </c>
    </row>
    <row r="25" spans="1:15" ht="30" customHeight="1" thickBot="1">
      <c r="A25" s="219"/>
      <c r="B25" s="243"/>
      <c r="C25" s="340" t="s">
        <v>101</v>
      </c>
      <c r="D25" s="341"/>
      <c r="E25" s="341"/>
      <c r="F25" s="341"/>
      <c r="G25" s="235">
        <v>13</v>
      </c>
      <c r="H25" s="232"/>
      <c r="M25" s="1">
        <v>5</v>
      </c>
      <c r="N25" s="41">
        <f ca="1">INDIRECT($O$18&amp;"51",1)</f>
        <v>56.0000001</v>
      </c>
      <c r="O25" s="42">
        <f ca="1">INDIRECT($O$18&amp;"78",1)</f>
        <v>22.252693303994278</v>
      </c>
    </row>
    <row r="26" spans="1:15" ht="27.75" customHeight="1">
      <c r="A26" s="53"/>
      <c r="B26" s="233" t="s">
        <v>107</v>
      </c>
      <c r="C26" s="252" t="s">
        <v>124</v>
      </c>
      <c r="D26" s="252"/>
      <c r="E26" s="252"/>
      <c r="F26" s="252"/>
      <c r="G26" s="252"/>
      <c r="H26" s="252"/>
      <c r="M26" s="1">
        <v>6</v>
      </c>
      <c r="N26" s="2">
        <f>M51</f>
        <v>1E-07</v>
      </c>
      <c r="O26" s="37">
        <f>M78</f>
        <v>22.472192896580346</v>
      </c>
    </row>
    <row r="27" spans="1:15" ht="27.75" customHeight="1">
      <c r="A27" s="52"/>
      <c r="B27" s="234"/>
      <c r="C27" s="248" t="s">
        <v>112</v>
      </c>
      <c r="D27" s="249"/>
      <c r="E27" s="249"/>
      <c r="F27" s="249"/>
      <c r="G27" s="249"/>
      <c r="H27" s="249"/>
      <c r="M27" s="1">
        <v>7</v>
      </c>
      <c r="N27" s="2">
        <f>M51</f>
        <v>1E-07</v>
      </c>
      <c r="O27" s="37">
        <f>M64</f>
        <v>0.013041573971551257</v>
      </c>
    </row>
    <row r="28" spans="1:15" ht="27.75" customHeight="1">
      <c r="A28" s="52"/>
      <c r="B28" s="234"/>
      <c r="C28" s="250" t="s">
        <v>113</v>
      </c>
      <c r="D28" s="245"/>
      <c r="E28" s="245"/>
      <c r="F28" s="245"/>
      <c r="G28" s="245"/>
      <c r="H28" s="245"/>
      <c r="M28" s="1">
        <v>8</v>
      </c>
      <c r="N28" s="2">
        <f>N21</f>
        <v>1E-07</v>
      </c>
      <c r="O28" s="37">
        <f>O21</f>
        <v>0.013041573971551257</v>
      </c>
    </row>
    <row r="29" spans="1:15" ht="13.5" customHeight="1">
      <c r="A29" s="52"/>
      <c r="C29" s="339" t="s">
        <v>114</v>
      </c>
      <c r="D29" s="339"/>
      <c r="E29" s="339"/>
      <c r="F29" s="339"/>
      <c r="G29" s="339"/>
      <c r="H29" s="339"/>
      <c r="M29" s="1">
        <v>9</v>
      </c>
      <c r="N29" s="79">
        <f>N24</f>
        <v>56.0000001</v>
      </c>
      <c r="O29" s="80">
        <f>O24</f>
        <v>7.629756773074534</v>
      </c>
    </row>
    <row r="30" spans="3:8" ht="13.5" customHeight="1">
      <c r="C30" s="339"/>
      <c r="D30" s="339"/>
      <c r="E30" s="339"/>
      <c r="F30" s="339"/>
      <c r="G30" s="339"/>
      <c r="H30" s="339"/>
    </row>
    <row r="31" spans="3:8" ht="13.5" customHeight="1">
      <c r="C31" s="339" t="s">
        <v>115</v>
      </c>
      <c r="D31" s="339"/>
      <c r="E31" s="339"/>
      <c r="F31" s="339"/>
      <c r="G31" s="339"/>
      <c r="H31" s="339"/>
    </row>
    <row r="32" spans="3:8" ht="13.5" customHeight="1">
      <c r="C32" s="339"/>
      <c r="D32" s="339"/>
      <c r="E32" s="339"/>
      <c r="F32" s="339"/>
      <c r="G32" s="339"/>
      <c r="H32" s="339"/>
    </row>
    <row r="33" spans="3:8" ht="13.5" customHeight="1">
      <c r="C33" s="339" t="s">
        <v>116</v>
      </c>
      <c r="D33" s="339"/>
      <c r="E33" s="339"/>
      <c r="F33" s="339"/>
      <c r="G33" s="339"/>
      <c r="H33" s="339"/>
    </row>
    <row r="34" spans="3:8" ht="13.5" customHeight="1">
      <c r="C34" s="339"/>
      <c r="D34" s="339"/>
      <c r="E34" s="339"/>
      <c r="F34" s="339"/>
      <c r="G34" s="339"/>
      <c r="H34" s="339"/>
    </row>
    <row r="35" spans="3:8" ht="13.5" customHeight="1">
      <c r="C35" s="339" t="s">
        <v>117</v>
      </c>
      <c r="D35" s="339"/>
      <c r="E35" s="339"/>
      <c r="F35" s="339"/>
      <c r="G35" s="339"/>
      <c r="H35" s="339"/>
    </row>
    <row r="36" spans="3:8" ht="13.5" customHeight="1">
      <c r="C36" s="339"/>
      <c r="D36" s="339"/>
      <c r="E36" s="339"/>
      <c r="F36" s="339"/>
      <c r="G36" s="339"/>
      <c r="H36" s="339"/>
    </row>
    <row r="37" spans="3:8" ht="13.5" customHeight="1">
      <c r="C37" s="339" t="s">
        <v>118</v>
      </c>
      <c r="D37" s="339"/>
      <c r="E37" s="339"/>
      <c r="F37" s="339"/>
      <c r="G37" s="339"/>
      <c r="H37" s="339"/>
    </row>
    <row r="38" spans="3:8" ht="13.5" customHeight="1">
      <c r="C38" s="339"/>
      <c r="D38" s="339"/>
      <c r="E38" s="339"/>
      <c r="F38" s="339"/>
      <c r="G38" s="339"/>
      <c r="H38" s="339"/>
    </row>
    <row r="39" spans="3:8" ht="13.5" customHeight="1">
      <c r="C39" s="250" t="s">
        <v>119</v>
      </c>
      <c r="D39" s="250"/>
      <c r="E39" s="250"/>
      <c r="F39" s="250"/>
      <c r="G39" s="250"/>
      <c r="H39" s="250"/>
    </row>
    <row r="40" spans="3:8" ht="13.5" customHeight="1">
      <c r="C40" s="250"/>
      <c r="D40" s="250"/>
      <c r="E40" s="250"/>
      <c r="F40" s="250"/>
      <c r="G40" s="250"/>
      <c r="H40" s="250"/>
    </row>
    <row r="41" spans="3:8" ht="13.5" customHeight="1">
      <c r="C41" s="339" t="s">
        <v>120</v>
      </c>
      <c r="D41" s="345"/>
      <c r="E41" s="345"/>
      <c r="F41" s="345"/>
      <c r="G41" s="345"/>
      <c r="H41" s="345"/>
    </row>
    <row r="42" spans="3:8" ht="13.5" customHeight="1">
      <c r="C42" s="345"/>
      <c r="D42" s="345"/>
      <c r="E42" s="345"/>
      <c r="F42" s="345"/>
      <c r="G42" s="345"/>
      <c r="H42" s="345"/>
    </row>
    <row r="43" spans="3:8" ht="13.5" customHeight="1">
      <c r="C43" s="339" t="s">
        <v>121</v>
      </c>
      <c r="D43" s="345"/>
      <c r="E43" s="345"/>
      <c r="F43" s="345"/>
      <c r="G43" s="345"/>
      <c r="H43" s="345"/>
    </row>
    <row r="44" spans="3:8" ht="13.5" customHeight="1">
      <c r="C44" s="345"/>
      <c r="D44" s="345"/>
      <c r="E44" s="345"/>
      <c r="F44" s="345"/>
      <c r="G44" s="345"/>
      <c r="H44" s="345"/>
    </row>
    <row r="45" spans="3:8" ht="13.5" customHeight="1" thickBot="1">
      <c r="C45" s="339" t="s">
        <v>122</v>
      </c>
      <c r="D45" s="339"/>
      <c r="E45" s="339"/>
      <c r="F45" s="339"/>
      <c r="G45" s="339"/>
      <c r="H45" s="339"/>
    </row>
    <row r="46" spans="3:40" ht="13.5" customHeight="1" thickBot="1">
      <c r="C46" s="339"/>
      <c r="D46" s="339"/>
      <c r="E46" s="339"/>
      <c r="F46" s="339"/>
      <c r="G46" s="339"/>
      <c r="H46" s="339"/>
      <c r="J46" s="311" t="s">
        <v>104</v>
      </c>
      <c r="K46" s="312"/>
      <c r="L46" s="312"/>
      <c r="M46" s="312"/>
      <c r="N46" s="312"/>
      <c r="O46" s="312"/>
      <c r="P46" s="313"/>
      <c r="Q46" s="320" t="s">
        <v>99</v>
      </c>
      <c r="R46" s="321"/>
      <c r="S46" s="326" t="str">
        <f>B3</f>
        <v>面積</v>
      </c>
      <c r="T46" s="261">
        <f>H3</f>
        <v>30.74</v>
      </c>
      <c r="U46" s="256" t="str">
        <f>B9</f>
        <v>翼長</v>
      </c>
      <c r="V46" s="266">
        <f>H9</f>
        <v>120</v>
      </c>
      <c r="W46" s="264" t="str">
        <f>B12</f>
        <v>平均翼弦</v>
      </c>
      <c r="X46" s="266">
        <f>G12</f>
        <v>26.5</v>
      </c>
      <c r="Y46" s="256" t="str">
        <f>B6</f>
        <v>後退角</v>
      </c>
      <c r="Z46" s="271">
        <f>H6</f>
        <v>7.75</v>
      </c>
      <c r="AA46" s="264" t="str">
        <f>B5</f>
        <v>テーパー比</v>
      </c>
      <c r="AB46" s="268">
        <f>H5</f>
        <v>0.6510903426791277</v>
      </c>
      <c r="AC46" s="292" t="str">
        <f>B7</f>
        <v>総重量</v>
      </c>
      <c r="AD46" s="300">
        <f>$H$7</f>
        <v>1800</v>
      </c>
      <c r="AE46" s="297" t="s">
        <v>93</v>
      </c>
      <c r="AF46" s="298">
        <v>0.2</v>
      </c>
      <c r="AG46" s="289" t="s">
        <v>24</v>
      </c>
      <c r="AH46" s="258" t="s">
        <v>42</v>
      </c>
      <c r="AI46" s="292" t="s">
        <v>31</v>
      </c>
      <c r="AJ46" s="307" t="s">
        <v>94</v>
      </c>
      <c r="AK46" s="307"/>
      <c r="AL46" s="307"/>
      <c r="AM46" s="307"/>
      <c r="AN46" s="308"/>
    </row>
    <row r="47" spans="3:40" ht="13.5" customHeight="1" thickBot="1">
      <c r="C47" s="339" t="s">
        <v>123</v>
      </c>
      <c r="D47" s="339"/>
      <c r="E47" s="339"/>
      <c r="F47" s="339"/>
      <c r="G47" s="339"/>
      <c r="H47" s="339"/>
      <c r="J47" s="314"/>
      <c r="K47" s="315"/>
      <c r="L47" s="315"/>
      <c r="M47" s="315"/>
      <c r="N47" s="315"/>
      <c r="O47" s="315"/>
      <c r="P47" s="316"/>
      <c r="Q47" s="322"/>
      <c r="R47" s="323"/>
      <c r="S47" s="327"/>
      <c r="T47" s="262"/>
      <c r="U47" s="257"/>
      <c r="V47" s="267"/>
      <c r="W47" s="265"/>
      <c r="X47" s="267"/>
      <c r="Y47" s="257"/>
      <c r="Z47" s="272"/>
      <c r="AA47" s="265"/>
      <c r="AB47" s="269"/>
      <c r="AC47" s="293"/>
      <c r="AD47" s="301"/>
      <c r="AE47" s="297"/>
      <c r="AF47" s="298"/>
      <c r="AG47" s="290"/>
      <c r="AH47" s="259"/>
      <c r="AI47" s="294"/>
      <c r="AJ47" s="309"/>
      <c r="AK47" s="309"/>
      <c r="AL47" s="309"/>
      <c r="AM47" s="309"/>
      <c r="AN47" s="310"/>
    </row>
    <row r="48" spans="3:40" ht="13.5" customHeight="1" thickBot="1">
      <c r="C48" s="339"/>
      <c r="D48" s="339"/>
      <c r="E48" s="339"/>
      <c r="F48" s="339"/>
      <c r="G48" s="339"/>
      <c r="H48" s="339"/>
      <c r="J48" s="317"/>
      <c r="K48" s="318"/>
      <c r="L48" s="318"/>
      <c r="M48" s="318"/>
      <c r="N48" s="318"/>
      <c r="O48" s="318"/>
      <c r="P48" s="319"/>
      <c r="Q48" s="322"/>
      <c r="R48" s="323"/>
      <c r="S48" s="327"/>
      <c r="T48" s="262"/>
      <c r="U48" s="329" t="s">
        <v>100</v>
      </c>
      <c r="V48" s="330">
        <f>H10</f>
        <v>4</v>
      </c>
      <c r="W48" s="212" t="str">
        <f>B13</f>
        <v>翼根長</v>
      </c>
      <c r="X48" s="213">
        <f>H13</f>
        <v>32.1</v>
      </c>
      <c r="Y48" s="257" t="str">
        <f>B4</f>
        <v>縦横比</v>
      </c>
      <c r="Z48" s="269">
        <f>H4</f>
        <v>4.53</v>
      </c>
      <c r="AA48" s="265" t="str">
        <f>B8</f>
        <v>翼面荷重</v>
      </c>
      <c r="AB48" s="267">
        <f>$H$8</f>
        <v>58.555627846454136</v>
      </c>
      <c r="AC48" s="293"/>
      <c r="AD48" s="301"/>
      <c r="AE48" s="299" t="str">
        <f>B16</f>
        <v>リブ間隔</v>
      </c>
      <c r="AF48" s="258">
        <f>H16</f>
        <v>8</v>
      </c>
      <c r="AG48" s="290"/>
      <c r="AH48" s="259"/>
      <c r="AI48" s="283" t="s">
        <v>111</v>
      </c>
      <c r="AJ48" s="284"/>
      <c r="AK48" s="284"/>
      <c r="AL48" s="284"/>
      <c r="AM48" s="284"/>
      <c r="AN48" s="285"/>
    </row>
    <row r="49" spans="3:40" ht="13.5" customHeight="1" thickBot="1">
      <c r="C49" s="339"/>
      <c r="D49" s="339"/>
      <c r="E49" s="339"/>
      <c r="F49" s="339"/>
      <c r="G49" s="339"/>
      <c r="H49" s="339"/>
      <c r="J49" s="4" t="s">
        <v>10</v>
      </c>
      <c r="K49" s="5" t="s">
        <v>21</v>
      </c>
      <c r="L49" s="239" t="str">
        <f>ASC(H18)</f>
        <v>2213</v>
      </c>
      <c r="M49" s="6" t="s">
        <v>16</v>
      </c>
      <c r="N49" s="62">
        <v>0.3000001</v>
      </c>
      <c r="O49" s="7" t="s">
        <v>20</v>
      </c>
      <c r="P49" s="63">
        <v>0.15</v>
      </c>
      <c r="Q49" s="324"/>
      <c r="R49" s="325"/>
      <c r="S49" s="328"/>
      <c r="T49" s="263"/>
      <c r="U49" s="295"/>
      <c r="V49" s="331"/>
      <c r="W49" s="214" t="str">
        <f>B14</f>
        <v>翼端長</v>
      </c>
      <c r="X49" s="215">
        <f>H14</f>
        <v>20.9</v>
      </c>
      <c r="Y49" s="295"/>
      <c r="Z49" s="296"/>
      <c r="AA49" s="303"/>
      <c r="AB49" s="270"/>
      <c r="AC49" s="294"/>
      <c r="AD49" s="302"/>
      <c r="AE49" s="299"/>
      <c r="AF49" s="260"/>
      <c r="AG49" s="291"/>
      <c r="AH49" s="260"/>
      <c r="AI49" s="286"/>
      <c r="AJ49" s="287"/>
      <c r="AK49" s="287"/>
      <c r="AL49" s="287"/>
      <c r="AM49" s="287"/>
      <c r="AN49" s="288"/>
    </row>
    <row r="50" spans="10:40" ht="13.5" customHeight="1">
      <c r="J50" s="275" t="s">
        <v>18</v>
      </c>
      <c r="K50" s="280" t="s">
        <v>14</v>
      </c>
      <c r="L50" s="281"/>
      <c r="M50" s="278">
        <f>IF(M1&gt;0,M1,0)</f>
        <v>1</v>
      </c>
      <c r="N50" s="279"/>
      <c r="O50" s="278">
        <f aca="true" t="shared" si="0" ref="O50:AM50">IF(O1&gt;0,O1,0)</f>
        <v>2</v>
      </c>
      <c r="P50" s="279"/>
      <c r="Q50" s="273">
        <f t="shared" si="0"/>
        <v>3</v>
      </c>
      <c r="R50" s="274"/>
      <c r="S50" s="273">
        <f t="shared" si="0"/>
        <v>4</v>
      </c>
      <c r="T50" s="274"/>
      <c r="U50" s="273">
        <f t="shared" si="0"/>
        <v>5</v>
      </c>
      <c r="V50" s="274"/>
      <c r="W50" s="273">
        <f t="shared" si="0"/>
        <v>6</v>
      </c>
      <c r="X50" s="274"/>
      <c r="Y50" s="273">
        <f t="shared" si="0"/>
        <v>7</v>
      </c>
      <c r="Z50" s="274"/>
      <c r="AA50" s="273">
        <f t="shared" si="0"/>
        <v>8</v>
      </c>
      <c r="AB50" s="274"/>
      <c r="AC50" s="273">
        <f t="shared" si="0"/>
        <v>0</v>
      </c>
      <c r="AD50" s="274"/>
      <c r="AE50" s="273">
        <f t="shared" si="0"/>
        <v>0</v>
      </c>
      <c r="AF50" s="274"/>
      <c r="AG50" s="273">
        <f t="shared" si="0"/>
        <v>0</v>
      </c>
      <c r="AH50" s="274"/>
      <c r="AI50" s="273">
        <f t="shared" si="0"/>
        <v>0</v>
      </c>
      <c r="AJ50" s="274"/>
      <c r="AK50" s="273">
        <f t="shared" si="0"/>
        <v>0</v>
      </c>
      <c r="AL50" s="274"/>
      <c r="AM50" s="273">
        <f t="shared" si="0"/>
        <v>0</v>
      </c>
      <c r="AN50" s="282"/>
    </row>
    <row r="51" spans="10:40" ht="13.5" customHeight="1">
      <c r="J51" s="276"/>
      <c r="K51" s="67" t="s">
        <v>22</v>
      </c>
      <c r="L51" s="68" t="s">
        <v>23</v>
      </c>
      <c r="M51" s="8">
        <v>1E-07</v>
      </c>
      <c r="N51" s="9">
        <f>TAN($A$6)*M51</f>
        <v>1.3609402708212352E-08</v>
      </c>
      <c r="O51" s="8">
        <f>IF(A16&lt;&gt;0,A16+0.0000001,G16+0.0000001)</f>
        <v>8.0000001</v>
      </c>
      <c r="P51" s="9">
        <f>TAN($A$6)*O51</f>
        <v>1.088752230266391</v>
      </c>
      <c r="Q51" s="8">
        <f>IF(Q50&gt;0,O51+$G$16,0)</f>
        <v>16.0000001</v>
      </c>
      <c r="R51" s="9">
        <f>TAN($A$6)*Q51</f>
        <v>2.1775044469233795</v>
      </c>
      <c r="S51" s="8">
        <f>IF(S50&gt;0,Q51+$G$16,0)</f>
        <v>24.0000001</v>
      </c>
      <c r="T51" s="9">
        <f>TAN($A$6)*S51</f>
        <v>3.266256663580368</v>
      </c>
      <c r="U51" s="8">
        <f>IF(U50&gt;0,S51+$G$16,0)</f>
        <v>32.0000001</v>
      </c>
      <c r="V51" s="9">
        <f>TAN($A$6)*U51</f>
        <v>4.355008880237356</v>
      </c>
      <c r="W51" s="8">
        <f>IF(W50&gt;0,U51+$G$16,0)</f>
        <v>40.0000001</v>
      </c>
      <c r="X51" s="9">
        <f>TAN($A$6)*W51</f>
        <v>5.443761096894344</v>
      </c>
      <c r="Y51" s="8">
        <f>IF(Y50&gt;0,W51+$G$16,0)</f>
        <v>48.0000001</v>
      </c>
      <c r="Z51" s="9">
        <f>TAN($A$6)*Y51</f>
        <v>6.532513313551332</v>
      </c>
      <c r="AA51" s="8">
        <f>IF(AA50&gt;0,Y51+$G$16,0)</f>
        <v>56.0000001</v>
      </c>
      <c r="AB51" s="9">
        <f>TAN($A$6)*AA51</f>
        <v>7.621265530208321</v>
      </c>
      <c r="AC51" s="8">
        <f>IF(AC50&gt;0,AA51+$G$16,0)</f>
        <v>0</v>
      </c>
      <c r="AD51" s="9">
        <f>TAN($A$6)*AC51</f>
        <v>0</v>
      </c>
      <c r="AE51" s="8">
        <f>IF(AE50&gt;0,AC51+$G$16,0)</f>
        <v>0</v>
      </c>
      <c r="AF51" s="9">
        <f>TAN($A$6)*AE51</f>
        <v>0</v>
      </c>
      <c r="AG51" s="8">
        <f>IF(AG50&gt;0,AE51+$G$16,0)</f>
        <v>0</v>
      </c>
      <c r="AH51" s="9">
        <f>TAN($A$6)*AG51</f>
        <v>0</v>
      </c>
      <c r="AI51" s="8">
        <f>IF(AI50&gt;0,AG51+$G$16,0)</f>
        <v>0</v>
      </c>
      <c r="AJ51" s="9">
        <f>TAN($A$6)*AI51</f>
        <v>0</v>
      </c>
      <c r="AK51" s="8">
        <f>IF(AK50&gt;0,AI51+$G$16,0)</f>
        <v>0</v>
      </c>
      <c r="AL51" s="9">
        <f>TAN($A$6)*AK51</f>
        <v>0</v>
      </c>
      <c r="AM51" s="8">
        <f>IF(AM50&gt;0,AK51+$G$16,0)</f>
        <v>0</v>
      </c>
      <c r="AN51" s="10">
        <f>TAN($A$6)*AM51</f>
        <v>0</v>
      </c>
    </row>
    <row r="52" spans="10:40" ht="13.5" customHeight="1" thickBot="1">
      <c r="J52" s="277"/>
      <c r="K52" s="69" t="s">
        <v>13</v>
      </c>
      <c r="L52" s="70" t="s">
        <v>15</v>
      </c>
      <c r="M52" s="201">
        <f>IF(M50&gt;0,H13,0)</f>
        <v>32.1</v>
      </c>
      <c r="N52" s="11" t="str">
        <f>IF(M52&gt;0,"翼厚","")</f>
        <v>翼厚</v>
      </c>
      <c r="O52" s="201">
        <f>IF(O50&gt;0,ROUND($H$13-O51*$A$17,2),0)</f>
        <v>30.5</v>
      </c>
      <c r="P52" s="11" t="str">
        <f>IF(O52&gt;0,"翼厚","")</f>
        <v>翼厚</v>
      </c>
      <c r="Q52" s="201">
        <f>IF(Q50&gt;0,ROUND($H$13-Q51*$A$17,2),0)</f>
        <v>28.9</v>
      </c>
      <c r="R52" s="11" t="str">
        <f>IF(Q52&gt;0,"翼厚","")</f>
        <v>翼厚</v>
      </c>
      <c r="S52" s="201">
        <f>IF(S50&gt;0,ROUND($H$13-S51*$A$17,2),0)</f>
        <v>27.3</v>
      </c>
      <c r="T52" s="11" t="str">
        <f>IF(S52&gt;0,"翼厚","")</f>
        <v>翼厚</v>
      </c>
      <c r="U52" s="201">
        <f>IF(U50&gt;0,ROUND($H$13-U51*$A$17,2),0)</f>
        <v>25.7</v>
      </c>
      <c r="V52" s="11" t="str">
        <f>IF(U52&gt;0,"翼厚","")</f>
        <v>翼厚</v>
      </c>
      <c r="W52" s="201">
        <f>IF(W50&gt;0,ROUND($H$13-W51*$A$17,2),0)</f>
        <v>24.1</v>
      </c>
      <c r="X52" s="11" t="str">
        <f>IF(W52&gt;0,"翼厚","")</f>
        <v>翼厚</v>
      </c>
      <c r="Y52" s="201">
        <f>IF(Y50&gt;0,ROUND($H$13-Y51*$A$17,2),0)</f>
        <v>22.5</v>
      </c>
      <c r="Z52" s="11" t="str">
        <f>IF(Y52&gt;0,"翼厚","")</f>
        <v>翼厚</v>
      </c>
      <c r="AA52" s="201">
        <f>IF(AA50&gt;0,ROUND($H$13-AA51*$A$17,2),0)</f>
        <v>20.9</v>
      </c>
      <c r="AB52" s="11" t="str">
        <f>IF(AA52&gt;0,"翼厚","")</f>
        <v>翼厚</v>
      </c>
      <c r="AC52" s="201">
        <f>IF(AC50&gt;0,ROUND($H$13-AC51*$A$17,2),0)</f>
        <v>0</v>
      </c>
      <c r="AD52" s="11">
        <f>IF(AC52&gt;0,"翼厚","")</f>
      </c>
      <c r="AE52" s="201">
        <f>IF(AE50&gt;0,ROUND($H$13-AE51*$A$17,2),0)</f>
        <v>0</v>
      </c>
      <c r="AF52" s="11">
        <f>IF(AE52&gt;0,"翼厚","")</f>
      </c>
      <c r="AG52" s="201">
        <f>IF(AG50&gt;0,ROUND($H$13-AG51*$A$17,2),0)</f>
        <v>0</v>
      </c>
      <c r="AH52" s="11">
        <f>IF(AG52&gt;0,"翼厚","")</f>
      </c>
      <c r="AI52" s="201">
        <f>IF(AI50&gt;0,ROUND($H$13-AI51*$A$17,2),0)</f>
        <v>0</v>
      </c>
      <c r="AJ52" s="11">
        <f>IF(AI52&gt;0,"翼厚","")</f>
      </c>
      <c r="AK52" s="201">
        <f>IF(AK50&gt;0,ROUND($H$13-AK51*$A$17,2),0)</f>
        <v>0</v>
      </c>
      <c r="AL52" s="11">
        <f>IF(AK52&gt;0,"翼厚","")</f>
      </c>
      <c r="AM52" s="201">
        <f>IF(AM50&gt;0,ROUND($H$13-AM51*$A$17,2),0)</f>
        <v>0</v>
      </c>
      <c r="AN52" s="12">
        <f>IF(AM52&gt;0,"翼厚","")</f>
      </c>
    </row>
    <row r="53" spans="10:40" ht="13.5" customHeight="1">
      <c r="J53" s="13">
        <v>1</v>
      </c>
      <c r="K53" s="71">
        <f>'NACA 4-Disit'!I28-'基本設計'!$N$49</f>
        <v>-0.3000001</v>
      </c>
      <c r="L53" s="72">
        <f>'NACA 4-Disit'!J28+0.0000001</f>
        <v>1E-07</v>
      </c>
      <c r="M53" s="14">
        <f aca="true" t="shared" si="1" ref="M53:M84">$K53*M$52</f>
        <v>-9.63000321</v>
      </c>
      <c r="N53" s="15">
        <f>$L53*M$52</f>
        <v>3.21E-06</v>
      </c>
      <c r="O53" s="14">
        <f>$K53*O$52+P$51</f>
        <v>-8.06125081973361</v>
      </c>
      <c r="P53" s="15">
        <f>$L53*O$52</f>
        <v>3.05E-06</v>
      </c>
      <c r="Q53" s="14">
        <f>$K53*Q$52+R$51</f>
        <v>-6.49249844307662</v>
      </c>
      <c r="R53" s="15">
        <f aca="true" t="shared" si="2" ref="R53:R84">$L53*Q$52</f>
        <v>2.89E-06</v>
      </c>
      <c r="S53" s="14">
        <f aca="true" t="shared" si="3" ref="S53:S84">$K53*S$52+T$51</f>
        <v>-4.923746066419632</v>
      </c>
      <c r="T53" s="15">
        <f aca="true" t="shared" si="4" ref="T53:T84">$L53*S$52</f>
        <v>2.73E-06</v>
      </c>
      <c r="U53" s="14">
        <f aca="true" t="shared" si="5" ref="U53:U84">$K53*U$52+V$51</f>
        <v>-3.354993689762644</v>
      </c>
      <c r="V53" s="15">
        <f aca="true" t="shared" si="6" ref="V53:V84">$L53*U$52</f>
        <v>2.57E-06</v>
      </c>
      <c r="W53" s="14">
        <f aca="true" t="shared" si="7" ref="W53:W84">$K53*W$52+X$51</f>
        <v>-1.7862413131056556</v>
      </c>
      <c r="X53" s="15">
        <f aca="true" t="shared" si="8" ref="X53:X84">$L53*W$52</f>
        <v>2.4100000000000002E-06</v>
      </c>
      <c r="Y53" s="14">
        <f aca="true" t="shared" si="9" ref="Y53:Y84">$K53*Y$52+Z$51</f>
        <v>-0.2174889364486674</v>
      </c>
      <c r="Z53" s="15">
        <f aca="true" t="shared" si="10" ref="Z53:Z84">$L53*Y$52</f>
        <v>2.25E-06</v>
      </c>
      <c r="AA53" s="14">
        <f aca="true" t="shared" si="11" ref="AA53:AA84">$K53*AA$52+AB$51</f>
        <v>1.3512634402083217</v>
      </c>
      <c r="AB53" s="15">
        <f aca="true" t="shared" si="12" ref="AB53:AB84">$L53*AA$52</f>
        <v>2.09E-06</v>
      </c>
      <c r="AC53" s="14">
        <f aca="true" t="shared" si="13" ref="AC53:AC84">$K53*AC$52+AD$51</f>
        <v>0</v>
      </c>
      <c r="AD53" s="15">
        <f aca="true" t="shared" si="14" ref="AD53:AD84">$L53*AC$52</f>
        <v>0</v>
      </c>
      <c r="AE53" s="14">
        <f aca="true" t="shared" si="15" ref="AE53:AE84">$K53*AE$52+AF$51</f>
        <v>0</v>
      </c>
      <c r="AF53" s="15">
        <f aca="true" t="shared" si="16" ref="AF53:AF84">$L53*AE$52</f>
        <v>0</v>
      </c>
      <c r="AG53" s="14">
        <f aca="true" t="shared" si="17" ref="AG53:AG84">$K53*AG$52+AH$51</f>
        <v>0</v>
      </c>
      <c r="AH53" s="15">
        <f aca="true" t="shared" si="18" ref="AH53:AH84">$L53*AG$52</f>
        <v>0</v>
      </c>
      <c r="AI53" s="14">
        <f aca="true" t="shared" si="19" ref="AI53:AI84">$K53*AI$52+AJ$51</f>
        <v>0</v>
      </c>
      <c r="AJ53" s="15">
        <f aca="true" t="shared" si="20" ref="AJ53:AJ84">$L53*AI$52</f>
        <v>0</v>
      </c>
      <c r="AK53" s="14">
        <f aca="true" t="shared" si="21" ref="AK53:AK84">$K53*AK$52+AL$51</f>
        <v>0</v>
      </c>
      <c r="AL53" s="15">
        <f aca="true" t="shared" si="22" ref="AL53:AL84">$L53*AK$52</f>
        <v>0</v>
      </c>
      <c r="AM53" s="14">
        <f aca="true" t="shared" si="23" ref="AM53:AM84">$K53*AM$52+AN$51</f>
        <v>0</v>
      </c>
      <c r="AN53" s="16">
        <f aca="true" t="shared" si="24" ref="AN53:AN84">$L53*AM$52</f>
        <v>0</v>
      </c>
    </row>
    <row r="54" spans="10:40" ht="13.5" customHeight="1">
      <c r="J54" s="17">
        <v>2</v>
      </c>
      <c r="K54" s="73">
        <f>'NACA 4-Disit'!I29-'基本設計'!$N$49</f>
        <v>-0.29890914886720055</v>
      </c>
      <c r="L54" s="74">
        <f>'NACA 4-Disit'!J29+0.0000001</f>
        <v>0.01095189397328071</v>
      </c>
      <c r="M54" s="18">
        <f t="shared" si="1"/>
        <v>-9.594983678637139</v>
      </c>
      <c r="N54" s="19">
        <f aca="true" t="shared" si="25" ref="N54:P104">$L54*M$52</f>
        <v>0.35155579654231084</v>
      </c>
      <c r="O54" s="18">
        <f>$K54*O$52+P$51</f>
        <v>-8.027976810183226</v>
      </c>
      <c r="P54" s="19">
        <f t="shared" si="25"/>
        <v>0.33403276618506167</v>
      </c>
      <c r="Q54" s="18">
        <f>$K54*Q$52+R$51</f>
        <v>-6.460969955338717</v>
      </c>
      <c r="R54" s="19">
        <f t="shared" si="2"/>
        <v>0.3165097358278125</v>
      </c>
      <c r="S54" s="18">
        <f t="shared" si="3"/>
        <v>-4.893963100494208</v>
      </c>
      <c r="T54" s="19">
        <f t="shared" si="4"/>
        <v>0.2989867054705634</v>
      </c>
      <c r="U54" s="18">
        <f t="shared" si="5"/>
        <v>-3.326956245649698</v>
      </c>
      <c r="V54" s="19">
        <f t="shared" si="6"/>
        <v>0.28146367511331427</v>
      </c>
      <c r="W54" s="18">
        <f t="shared" si="7"/>
        <v>-1.7599493908051889</v>
      </c>
      <c r="X54" s="19">
        <f t="shared" si="8"/>
        <v>0.26394064475606516</v>
      </c>
      <c r="Y54" s="18">
        <f t="shared" si="9"/>
        <v>-0.19294253596067978</v>
      </c>
      <c r="Z54" s="19">
        <f t="shared" si="10"/>
        <v>0.246417614398816</v>
      </c>
      <c r="AA54" s="18">
        <f t="shared" si="11"/>
        <v>1.3740643188838302</v>
      </c>
      <c r="AB54" s="19">
        <f t="shared" si="12"/>
        <v>0.22889458404156682</v>
      </c>
      <c r="AC54" s="18">
        <f t="shared" si="13"/>
        <v>0</v>
      </c>
      <c r="AD54" s="19">
        <f t="shared" si="14"/>
        <v>0</v>
      </c>
      <c r="AE54" s="18">
        <f t="shared" si="15"/>
        <v>0</v>
      </c>
      <c r="AF54" s="19">
        <f t="shared" si="16"/>
        <v>0</v>
      </c>
      <c r="AG54" s="18">
        <f t="shared" si="17"/>
        <v>0</v>
      </c>
      <c r="AH54" s="19">
        <f t="shared" si="18"/>
        <v>0</v>
      </c>
      <c r="AI54" s="18">
        <f t="shared" si="19"/>
        <v>0</v>
      </c>
      <c r="AJ54" s="19">
        <f t="shared" si="20"/>
        <v>0</v>
      </c>
      <c r="AK54" s="18">
        <f t="shared" si="21"/>
        <v>0</v>
      </c>
      <c r="AL54" s="19">
        <f t="shared" si="22"/>
        <v>0</v>
      </c>
      <c r="AM54" s="18">
        <f t="shared" si="23"/>
        <v>0</v>
      </c>
      <c r="AN54" s="20">
        <f t="shared" si="24"/>
        <v>0</v>
      </c>
    </row>
    <row r="55" spans="10:40" ht="13.5" customHeight="1">
      <c r="J55" s="17">
        <v>3</v>
      </c>
      <c r="K55" s="73">
        <f>'NACA 4-Disit'!I30-'基本設計'!$N$49</f>
        <v>-0.29655307417067983</v>
      </c>
      <c r="L55" s="74">
        <f>'NACA 4-Disit'!J30+0.0000001</f>
        <v>0.01569753221157346</v>
      </c>
      <c r="M55" s="18">
        <f t="shared" si="1"/>
        <v>-9.519353680878822</v>
      </c>
      <c r="N55" s="19">
        <f t="shared" si="25"/>
        <v>0.5038907839915081</v>
      </c>
      <c r="O55" s="18">
        <f aca="true" t="shared" si="26" ref="O55:Q104">$K55*O$52+P$51</f>
        <v>-7.956116531939343</v>
      </c>
      <c r="P55" s="19">
        <f t="shared" si="25"/>
        <v>0.4787747324529905</v>
      </c>
      <c r="Q55" s="18">
        <f t="shared" si="26"/>
        <v>-6.392879396609267</v>
      </c>
      <c r="R55" s="19">
        <f t="shared" si="2"/>
        <v>0.453658680914473</v>
      </c>
      <c r="S55" s="18">
        <f t="shared" si="3"/>
        <v>-4.829642261279192</v>
      </c>
      <c r="T55" s="19">
        <f t="shared" si="4"/>
        <v>0.4285426293759555</v>
      </c>
      <c r="U55" s="18">
        <f t="shared" si="5"/>
        <v>-3.266405125949116</v>
      </c>
      <c r="V55" s="19">
        <f t="shared" si="6"/>
        <v>0.4034265778374379</v>
      </c>
      <c r="W55" s="18">
        <f t="shared" si="7"/>
        <v>-1.7031679906190398</v>
      </c>
      <c r="X55" s="19">
        <f t="shared" si="8"/>
        <v>0.3783105262989204</v>
      </c>
      <c r="Y55" s="18">
        <f t="shared" si="9"/>
        <v>-0.13993085528896376</v>
      </c>
      <c r="Z55" s="19">
        <f t="shared" si="10"/>
        <v>0.35319447476040283</v>
      </c>
      <c r="AA55" s="18">
        <f t="shared" si="11"/>
        <v>1.4233062800411131</v>
      </c>
      <c r="AB55" s="19">
        <f t="shared" si="12"/>
        <v>0.3280784232218853</v>
      </c>
      <c r="AC55" s="18">
        <f t="shared" si="13"/>
        <v>0</v>
      </c>
      <c r="AD55" s="19">
        <f t="shared" si="14"/>
        <v>0</v>
      </c>
      <c r="AE55" s="18">
        <f t="shared" si="15"/>
        <v>0</v>
      </c>
      <c r="AF55" s="19">
        <f t="shared" si="16"/>
        <v>0</v>
      </c>
      <c r="AG55" s="18">
        <f t="shared" si="17"/>
        <v>0</v>
      </c>
      <c r="AH55" s="19">
        <f t="shared" si="18"/>
        <v>0</v>
      </c>
      <c r="AI55" s="18">
        <f t="shared" si="19"/>
        <v>0</v>
      </c>
      <c r="AJ55" s="19">
        <f t="shared" si="20"/>
        <v>0</v>
      </c>
      <c r="AK55" s="18">
        <f t="shared" si="21"/>
        <v>0</v>
      </c>
      <c r="AL55" s="19">
        <f t="shared" si="22"/>
        <v>0</v>
      </c>
      <c r="AM55" s="18">
        <f t="shared" si="23"/>
        <v>0</v>
      </c>
      <c r="AN55" s="20">
        <f t="shared" si="24"/>
        <v>0</v>
      </c>
    </row>
    <row r="56" spans="10:40" ht="13.5" customHeight="1">
      <c r="J56" s="17">
        <v>4</v>
      </c>
      <c r="K56" s="73">
        <f>'NACA 4-Disit'!I31-'基本設計'!$N$49</f>
        <v>-0.2912813321621597</v>
      </c>
      <c r="L56" s="74">
        <f>'NACA 4-Disit'!J31+0.0000001</f>
        <v>0.022588546531518417</v>
      </c>
      <c r="M56" s="18">
        <f t="shared" si="1"/>
        <v>-9.350130762405326</v>
      </c>
      <c r="N56" s="19">
        <f t="shared" si="25"/>
        <v>0.7250923436617412</v>
      </c>
      <c r="O56" s="18">
        <f t="shared" si="26"/>
        <v>-7.795328400679479</v>
      </c>
      <c r="P56" s="19">
        <f t="shared" si="25"/>
        <v>0.6889506692113118</v>
      </c>
      <c r="Q56" s="18">
        <f t="shared" si="26"/>
        <v>-6.240526052563036</v>
      </c>
      <c r="R56" s="19">
        <f t="shared" si="2"/>
        <v>0.6528089947608823</v>
      </c>
      <c r="S56" s="18">
        <f t="shared" si="3"/>
        <v>-4.685723704446592</v>
      </c>
      <c r="T56" s="19">
        <f t="shared" si="4"/>
        <v>0.6166673203104528</v>
      </c>
      <c r="U56" s="18">
        <f t="shared" si="5"/>
        <v>-3.1309213563301475</v>
      </c>
      <c r="V56" s="19">
        <f t="shared" si="6"/>
        <v>0.5805256458600233</v>
      </c>
      <c r="W56" s="18">
        <f t="shared" si="7"/>
        <v>-1.5761190082137047</v>
      </c>
      <c r="X56" s="19">
        <f t="shared" si="8"/>
        <v>0.5443839714095939</v>
      </c>
      <c r="Y56" s="18">
        <f t="shared" si="9"/>
        <v>-0.021316660097260964</v>
      </c>
      <c r="Z56" s="19">
        <f t="shared" si="10"/>
        <v>0.5082422969591643</v>
      </c>
      <c r="AA56" s="18">
        <f t="shared" si="11"/>
        <v>1.5334856880191845</v>
      </c>
      <c r="AB56" s="19">
        <f t="shared" si="12"/>
        <v>0.4721006225087349</v>
      </c>
      <c r="AC56" s="18">
        <f t="shared" si="13"/>
        <v>0</v>
      </c>
      <c r="AD56" s="19">
        <f t="shared" si="14"/>
        <v>0</v>
      </c>
      <c r="AE56" s="18">
        <f t="shared" si="15"/>
        <v>0</v>
      </c>
      <c r="AF56" s="19">
        <f t="shared" si="16"/>
        <v>0</v>
      </c>
      <c r="AG56" s="18">
        <f t="shared" si="17"/>
        <v>0</v>
      </c>
      <c r="AH56" s="19">
        <f t="shared" si="18"/>
        <v>0</v>
      </c>
      <c r="AI56" s="18">
        <f t="shared" si="19"/>
        <v>0</v>
      </c>
      <c r="AJ56" s="19">
        <f t="shared" si="20"/>
        <v>0</v>
      </c>
      <c r="AK56" s="18">
        <f t="shared" si="21"/>
        <v>0</v>
      </c>
      <c r="AL56" s="19">
        <f t="shared" si="22"/>
        <v>0</v>
      </c>
      <c r="AM56" s="18">
        <f t="shared" si="23"/>
        <v>0</v>
      </c>
      <c r="AN56" s="20">
        <f t="shared" si="24"/>
        <v>0</v>
      </c>
    </row>
    <row r="57" spans="10:40" ht="13.5" customHeight="1">
      <c r="J57" s="17">
        <v>5</v>
      </c>
      <c r="K57" s="73">
        <f>'NACA 4-Disit'!I32-'基本設計'!$N$49</f>
        <v>-0.2798831176575459</v>
      </c>
      <c r="L57" s="74">
        <f>'NACA 4-Disit'!J32+0.0000001</f>
        <v>0.03259055804311964</v>
      </c>
      <c r="M57" s="18">
        <f t="shared" si="1"/>
        <v>-8.984248076807225</v>
      </c>
      <c r="N57" s="19">
        <f t="shared" si="25"/>
        <v>1.0461569131841404</v>
      </c>
      <c r="O57" s="18">
        <f t="shared" si="26"/>
        <v>-7.447682858288759</v>
      </c>
      <c r="P57" s="19">
        <f t="shared" si="25"/>
        <v>0.994012020315149</v>
      </c>
      <c r="Q57" s="18">
        <f t="shared" si="26"/>
        <v>-5.911117653379698</v>
      </c>
      <c r="R57" s="19">
        <f t="shared" si="2"/>
        <v>0.9418671274461575</v>
      </c>
      <c r="S57" s="18">
        <f t="shared" si="3"/>
        <v>-4.374552448470636</v>
      </c>
      <c r="T57" s="19">
        <f t="shared" si="4"/>
        <v>0.8897222345771661</v>
      </c>
      <c r="U57" s="18">
        <f t="shared" si="5"/>
        <v>-2.8379872435615745</v>
      </c>
      <c r="V57" s="19">
        <f t="shared" si="6"/>
        <v>0.8375773417081747</v>
      </c>
      <c r="W57" s="18">
        <f t="shared" si="7"/>
        <v>-1.3014220386525128</v>
      </c>
      <c r="X57" s="19">
        <f t="shared" si="8"/>
        <v>0.7854324488391833</v>
      </c>
      <c r="Y57" s="18">
        <f t="shared" si="9"/>
        <v>0.23514316625654885</v>
      </c>
      <c r="Z57" s="19">
        <f t="shared" si="10"/>
        <v>0.7332875559701919</v>
      </c>
      <c r="AA57" s="18">
        <f t="shared" si="11"/>
        <v>1.7717083711656114</v>
      </c>
      <c r="AB57" s="19">
        <f t="shared" si="12"/>
        <v>0.6811426631012004</v>
      </c>
      <c r="AC57" s="18">
        <f t="shared" si="13"/>
        <v>0</v>
      </c>
      <c r="AD57" s="19">
        <f t="shared" si="14"/>
        <v>0</v>
      </c>
      <c r="AE57" s="18">
        <f t="shared" si="15"/>
        <v>0</v>
      </c>
      <c r="AF57" s="19">
        <f t="shared" si="16"/>
        <v>0</v>
      </c>
      <c r="AG57" s="18">
        <f t="shared" si="17"/>
        <v>0</v>
      </c>
      <c r="AH57" s="19">
        <f t="shared" si="18"/>
        <v>0</v>
      </c>
      <c r="AI57" s="18">
        <f t="shared" si="19"/>
        <v>0</v>
      </c>
      <c r="AJ57" s="19">
        <f t="shared" si="20"/>
        <v>0</v>
      </c>
      <c r="AK57" s="18">
        <f t="shared" si="21"/>
        <v>0</v>
      </c>
      <c r="AL57" s="19">
        <f t="shared" si="22"/>
        <v>0</v>
      </c>
      <c r="AM57" s="18">
        <f t="shared" si="23"/>
        <v>0</v>
      </c>
      <c r="AN57" s="20">
        <f t="shared" si="24"/>
        <v>0</v>
      </c>
    </row>
    <row r="58" spans="10:40" ht="13.5" customHeight="1">
      <c r="J58" s="17">
        <v>6</v>
      </c>
      <c r="K58" s="73">
        <f>'NACA 4-Disit'!I33-'基本設計'!$N$49</f>
        <v>-0.2557126908423437</v>
      </c>
      <c r="L58" s="74">
        <f>'NACA 4-Disit'!J33+0.0000001</f>
        <v>0.04683403894895814</v>
      </c>
      <c r="M58" s="18">
        <f t="shared" si="1"/>
        <v>-8.208377376039234</v>
      </c>
      <c r="N58" s="19">
        <f t="shared" si="25"/>
        <v>1.5033726502615565</v>
      </c>
      <c r="O58" s="18">
        <f t="shared" si="26"/>
        <v>-6.710484840425092</v>
      </c>
      <c r="P58" s="19">
        <f t="shared" si="25"/>
        <v>1.4284381879432233</v>
      </c>
      <c r="Q58" s="18">
        <f t="shared" si="26"/>
        <v>-5.212592318420354</v>
      </c>
      <c r="R58" s="19">
        <f t="shared" si="2"/>
        <v>1.3535037256248903</v>
      </c>
      <c r="S58" s="18">
        <f t="shared" si="3"/>
        <v>-3.7146997964156157</v>
      </c>
      <c r="T58" s="19">
        <f t="shared" si="4"/>
        <v>1.2785692633065573</v>
      </c>
      <c r="U58" s="18">
        <f t="shared" si="5"/>
        <v>-2.2168072744108773</v>
      </c>
      <c r="V58" s="19">
        <f t="shared" si="6"/>
        <v>1.2036348009882243</v>
      </c>
      <c r="W58" s="18">
        <f t="shared" si="7"/>
        <v>-0.7189147524061399</v>
      </c>
      <c r="X58" s="19">
        <f t="shared" si="8"/>
        <v>1.1287003386698913</v>
      </c>
      <c r="Y58" s="18">
        <f t="shared" si="9"/>
        <v>0.7789777695985984</v>
      </c>
      <c r="Z58" s="19">
        <f t="shared" si="10"/>
        <v>1.0537658763515583</v>
      </c>
      <c r="AA58" s="18">
        <f t="shared" si="11"/>
        <v>2.2768702916033376</v>
      </c>
      <c r="AB58" s="19">
        <f t="shared" si="12"/>
        <v>0.9788314140332252</v>
      </c>
      <c r="AC58" s="18">
        <f t="shared" si="13"/>
        <v>0</v>
      </c>
      <c r="AD58" s="19">
        <f t="shared" si="14"/>
        <v>0</v>
      </c>
      <c r="AE58" s="18">
        <f t="shared" si="15"/>
        <v>0</v>
      </c>
      <c r="AF58" s="19">
        <f t="shared" si="16"/>
        <v>0</v>
      </c>
      <c r="AG58" s="18">
        <f t="shared" si="17"/>
        <v>0</v>
      </c>
      <c r="AH58" s="19">
        <f t="shared" si="18"/>
        <v>0</v>
      </c>
      <c r="AI58" s="18">
        <f t="shared" si="19"/>
        <v>0</v>
      </c>
      <c r="AJ58" s="19">
        <f t="shared" si="20"/>
        <v>0</v>
      </c>
      <c r="AK58" s="18">
        <f t="shared" si="21"/>
        <v>0</v>
      </c>
      <c r="AL58" s="19">
        <f t="shared" si="22"/>
        <v>0</v>
      </c>
      <c r="AM58" s="18">
        <f t="shared" si="23"/>
        <v>0</v>
      </c>
      <c r="AN58" s="20">
        <f t="shared" si="24"/>
        <v>0</v>
      </c>
    </row>
    <row r="59" spans="10:40" ht="13.5" customHeight="1">
      <c r="J59" s="17">
        <v>7</v>
      </c>
      <c r="K59" s="73">
        <f>'NACA 4-Disit'!I34-'基本設計'!$N$49</f>
        <v>-0.23064368042380898</v>
      </c>
      <c r="L59" s="74">
        <f>'NACA 4-Disit'!J34+0.0000001</f>
        <v>0.05733624339047188</v>
      </c>
      <c r="M59" s="18">
        <f t="shared" si="1"/>
        <v>-7.4036621416042685</v>
      </c>
      <c r="N59" s="19">
        <f t="shared" si="25"/>
        <v>1.8404934128341475</v>
      </c>
      <c r="O59" s="18">
        <f t="shared" si="26"/>
        <v>-5.945880022659782</v>
      </c>
      <c r="P59" s="19">
        <f t="shared" si="25"/>
        <v>1.7487554234093923</v>
      </c>
      <c r="Q59" s="18">
        <f t="shared" si="26"/>
        <v>-4.4880979173246995</v>
      </c>
      <c r="R59" s="19">
        <f t="shared" si="2"/>
        <v>1.6570174339846373</v>
      </c>
      <c r="S59" s="18">
        <f t="shared" si="3"/>
        <v>-3.0303158119896176</v>
      </c>
      <c r="T59" s="19">
        <f t="shared" si="4"/>
        <v>1.5652794445598823</v>
      </c>
      <c r="U59" s="18">
        <f t="shared" si="5"/>
        <v>-1.5725337066545348</v>
      </c>
      <c r="V59" s="19">
        <f t="shared" si="6"/>
        <v>1.4735414551351274</v>
      </c>
      <c r="W59" s="18">
        <f t="shared" si="7"/>
        <v>-0.11475160131945206</v>
      </c>
      <c r="X59" s="19">
        <f t="shared" si="8"/>
        <v>1.3818034657103724</v>
      </c>
      <c r="Y59" s="18">
        <f t="shared" si="9"/>
        <v>1.3430305040156298</v>
      </c>
      <c r="Z59" s="19">
        <f t="shared" si="10"/>
        <v>1.2900654762856172</v>
      </c>
      <c r="AA59" s="18">
        <f t="shared" si="11"/>
        <v>2.8008126093507135</v>
      </c>
      <c r="AB59" s="19">
        <f t="shared" si="12"/>
        <v>1.1983274868608622</v>
      </c>
      <c r="AC59" s="18">
        <f t="shared" si="13"/>
        <v>0</v>
      </c>
      <c r="AD59" s="19">
        <f t="shared" si="14"/>
        <v>0</v>
      </c>
      <c r="AE59" s="18">
        <f t="shared" si="15"/>
        <v>0</v>
      </c>
      <c r="AF59" s="19">
        <f t="shared" si="16"/>
        <v>0</v>
      </c>
      <c r="AG59" s="18">
        <f t="shared" si="17"/>
        <v>0</v>
      </c>
      <c r="AH59" s="19">
        <f t="shared" si="18"/>
        <v>0</v>
      </c>
      <c r="AI59" s="18">
        <f t="shared" si="19"/>
        <v>0</v>
      </c>
      <c r="AJ59" s="19">
        <f t="shared" si="20"/>
        <v>0</v>
      </c>
      <c r="AK59" s="18">
        <f t="shared" si="21"/>
        <v>0</v>
      </c>
      <c r="AL59" s="19">
        <f t="shared" si="22"/>
        <v>0</v>
      </c>
      <c r="AM59" s="18">
        <f t="shared" si="23"/>
        <v>0</v>
      </c>
      <c r="AN59" s="20">
        <f t="shared" si="24"/>
        <v>0</v>
      </c>
    </row>
    <row r="60" spans="10:40" ht="13.5" customHeight="1">
      <c r="J60" s="17">
        <v>8</v>
      </c>
      <c r="K60" s="73">
        <f>'NACA 4-Disit'!I35-'基本設計'!$N$49</f>
        <v>-0.2050481226733733</v>
      </c>
      <c r="L60" s="74">
        <f>'NACA 4-Disit'!J35+0.0000001</f>
        <v>0.06548032673373316</v>
      </c>
      <c r="M60" s="18">
        <f t="shared" si="1"/>
        <v>-6.582044737815283</v>
      </c>
      <c r="N60" s="19">
        <f t="shared" si="25"/>
        <v>2.1019184881528346</v>
      </c>
      <c r="O60" s="18">
        <f t="shared" si="26"/>
        <v>-5.165215511271494</v>
      </c>
      <c r="P60" s="19">
        <f t="shared" si="25"/>
        <v>1.9971499653788616</v>
      </c>
      <c r="Q60" s="18">
        <f t="shared" si="26"/>
        <v>-3.7483862983371083</v>
      </c>
      <c r="R60" s="19">
        <f t="shared" si="2"/>
        <v>1.8923814426048884</v>
      </c>
      <c r="S60" s="18">
        <f t="shared" si="3"/>
        <v>-2.331557085402723</v>
      </c>
      <c r="T60" s="19">
        <f t="shared" si="4"/>
        <v>1.7876129198309154</v>
      </c>
      <c r="U60" s="18">
        <f t="shared" si="5"/>
        <v>-0.9147278724683376</v>
      </c>
      <c r="V60" s="19">
        <f t="shared" si="6"/>
        <v>1.6828443970569422</v>
      </c>
      <c r="W60" s="18">
        <f t="shared" si="7"/>
        <v>0.5021013404660479</v>
      </c>
      <c r="X60" s="19">
        <f t="shared" si="8"/>
        <v>1.5780758742829692</v>
      </c>
      <c r="Y60" s="18">
        <f t="shared" si="9"/>
        <v>1.9189305534004326</v>
      </c>
      <c r="Z60" s="19">
        <f t="shared" si="10"/>
        <v>1.4733073515089963</v>
      </c>
      <c r="AA60" s="18">
        <f t="shared" si="11"/>
        <v>3.335759766334819</v>
      </c>
      <c r="AB60" s="19">
        <f t="shared" si="12"/>
        <v>1.368538828735023</v>
      </c>
      <c r="AC60" s="18">
        <f t="shared" si="13"/>
        <v>0</v>
      </c>
      <c r="AD60" s="19">
        <f t="shared" si="14"/>
        <v>0</v>
      </c>
      <c r="AE60" s="18">
        <f t="shared" si="15"/>
        <v>0</v>
      </c>
      <c r="AF60" s="19">
        <f t="shared" si="16"/>
        <v>0</v>
      </c>
      <c r="AG60" s="18">
        <f t="shared" si="17"/>
        <v>0</v>
      </c>
      <c r="AH60" s="19">
        <f t="shared" si="18"/>
        <v>0</v>
      </c>
      <c r="AI60" s="18">
        <f t="shared" si="19"/>
        <v>0</v>
      </c>
      <c r="AJ60" s="19">
        <f t="shared" si="20"/>
        <v>0</v>
      </c>
      <c r="AK60" s="18">
        <f t="shared" si="21"/>
        <v>0</v>
      </c>
      <c r="AL60" s="19">
        <f t="shared" si="22"/>
        <v>0</v>
      </c>
      <c r="AM60" s="18">
        <f t="shared" si="23"/>
        <v>0</v>
      </c>
      <c r="AN60" s="20">
        <f t="shared" si="24"/>
        <v>0</v>
      </c>
    </row>
    <row r="61" spans="10:40" ht="13.5" customHeight="1">
      <c r="J61" s="17">
        <v>9</v>
      </c>
      <c r="K61" s="73">
        <f>'NACA 4-Disit'!I36-'基本設計'!$N$49</f>
        <v>-0.1528918875219869</v>
      </c>
      <c r="L61" s="74">
        <f>'NACA 4-Disit'!J36+0.0000001</f>
        <v>0.07658585043973823</v>
      </c>
      <c r="M61" s="18">
        <f t="shared" si="1"/>
        <v>-4.90782958945578</v>
      </c>
      <c r="N61" s="19">
        <f t="shared" si="25"/>
        <v>2.458405799115597</v>
      </c>
      <c r="O61" s="18">
        <f t="shared" si="26"/>
        <v>-3.5744503391542093</v>
      </c>
      <c r="P61" s="19">
        <f t="shared" si="25"/>
        <v>2.335868438412016</v>
      </c>
      <c r="Q61" s="18">
        <f t="shared" si="26"/>
        <v>-2.2410711024620418</v>
      </c>
      <c r="R61" s="19">
        <f t="shared" si="2"/>
        <v>2.2133310777084345</v>
      </c>
      <c r="S61" s="18">
        <f t="shared" si="3"/>
        <v>-0.9076918657698752</v>
      </c>
      <c r="T61" s="19">
        <f t="shared" si="4"/>
        <v>2.090793717004854</v>
      </c>
      <c r="U61" s="18">
        <f t="shared" si="5"/>
        <v>0.42568737092229236</v>
      </c>
      <c r="V61" s="19">
        <f t="shared" si="6"/>
        <v>1.9682563563012725</v>
      </c>
      <c r="W61" s="18">
        <f t="shared" si="7"/>
        <v>1.7590666076144599</v>
      </c>
      <c r="X61" s="19">
        <f t="shared" si="8"/>
        <v>1.8457189955976914</v>
      </c>
      <c r="Y61" s="18">
        <f t="shared" si="9"/>
        <v>3.092445844306627</v>
      </c>
      <c r="Z61" s="19">
        <f t="shared" si="10"/>
        <v>1.7231816348941102</v>
      </c>
      <c r="AA61" s="18">
        <f t="shared" si="11"/>
        <v>4.425825080998795</v>
      </c>
      <c r="AB61" s="19">
        <f t="shared" si="12"/>
        <v>1.600644274190529</v>
      </c>
      <c r="AC61" s="18">
        <f t="shared" si="13"/>
        <v>0</v>
      </c>
      <c r="AD61" s="19">
        <f t="shared" si="14"/>
        <v>0</v>
      </c>
      <c r="AE61" s="18">
        <f t="shared" si="15"/>
        <v>0</v>
      </c>
      <c r="AF61" s="19">
        <f t="shared" si="16"/>
        <v>0</v>
      </c>
      <c r="AG61" s="18">
        <f t="shared" si="17"/>
        <v>0</v>
      </c>
      <c r="AH61" s="19">
        <f t="shared" si="18"/>
        <v>0</v>
      </c>
      <c r="AI61" s="18">
        <f t="shared" si="19"/>
        <v>0</v>
      </c>
      <c r="AJ61" s="19">
        <f t="shared" si="20"/>
        <v>0</v>
      </c>
      <c r="AK61" s="18">
        <f t="shared" si="21"/>
        <v>0</v>
      </c>
      <c r="AL61" s="19">
        <f t="shared" si="22"/>
        <v>0</v>
      </c>
      <c r="AM61" s="18">
        <f t="shared" si="23"/>
        <v>0</v>
      </c>
      <c r="AN61" s="20">
        <f t="shared" si="24"/>
        <v>0</v>
      </c>
    </row>
    <row r="62" spans="10:40" ht="13.5" customHeight="1">
      <c r="J62" s="17">
        <v>10</v>
      </c>
      <c r="K62" s="73">
        <f>'NACA 4-Disit'!I37-'基本設計'!$N$49</f>
        <v>-0.10000009999999998</v>
      </c>
      <c r="L62" s="74">
        <f>'NACA 4-Disit'!J37+0.0000001</f>
        <v>0.0821591</v>
      </c>
      <c r="M62" s="18">
        <f t="shared" si="1"/>
        <v>-3.2100032099999996</v>
      </c>
      <c r="N62" s="19">
        <f t="shared" si="25"/>
        <v>2.63730711</v>
      </c>
      <c r="O62" s="18">
        <f t="shared" si="26"/>
        <v>-1.9612508197336085</v>
      </c>
      <c r="P62" s="19">
        <f t="shared" si="25"/>
        <v>2.50585255</v>
      </c>
      <c r="Q62" s="18">
        <f t="shared" si="26"/>
        <v>-0.7124984430766199</v>
      </c>
      <c r="R62" s="19">
        <f t="shared" si="2"/>
        <v>2.37439799</v>
      </c>
      <c r="S62" s="18">
        <f t="shared" si="3"/>
        <v>0.5362539335803684</v>
      </c>
      <c r="T62" s="19">
        <f t="shared" si="4"/>
        <v>2.24294343</v>
      </c>
      <c r="U62" s="18">
        <f t="shared" si="5"/>
        <v>1.7850063102373563</v>
      </c>
      <c r="V62" s="19">
        <f t="shared" si="6"/>
        <v>2.11148887</v>
      </c>
      <c r="W62" s="18">
        <f t="shared" si="7"/>
        <v>3.0337586868943447</v>
      </c>
      <c r="X62" s="19">
        <f t="shared" si="8"/>
        <v>1.9800343100000002</v>
      </c>
      <c r="Y62" s="18">
        <f t="shared" si="9"/>
        <v>4.282511063551333</v>
      </c>
      <c r="Z62" s="19">
        <f t="shared" si="10"/>
        <v>1.84857975</v>
      </c>
      <c r="AA62" s="18">
        <f t="shared" si="11"/>
        <v>5.531263440208321</v>
      </c>
      <c r="AB62" s="19">
        <f t="shared" si="12"/>
        <v>1.71712519</v>
      </c>
      <c r="AC62" s="18">
        <f t="shared" si="13"/>
        <v>0</v>
      </c>
      <c r="AD62" s="19">
        <f t="shared" si="14"/>
        <v>0</v>
      </c>
      <c r="AE62" s="18">
        <f t="shared" si="15"/>
        <v>0</v>
      </c>
      <c r="AF62" s="19">
        <f t="shared" si="16"/>
        <v>0</v>
      </c>
      <c r="AG62" s="18">
        <f t="shared" si="17"/>
        <v>0</v>
      </c>
      <c r="AH62" s="19">
        <f t="shared" si="18"/>
        <v>0</v>
      </c>
      <c r="AI62" s="18">
        <f t="shared" si="19"/>
        <v>0</v>
      </c>
      <c r="AJ62" s="19">
        <f t="shared" si="20"/>
        <v>0</v>
      </c>
      <c r="AK62" s="18">
        <f t="shared" si="21"/>
        <v>0</v>
      </c>
      <c r="AL62" s="19">
        <f t="shared" si="22"/>
        <v>0</v>
      </c>
      <c r="AM62" s="18">
        <f t="shared" si="23"/>
        <v>0</v>
      </c>
      <c r="AN62" s="20">
        <f t="shared" si="24"/>
        <v>0</v>
      </c>
    </row>
    <row r="63" spans="10:40" ht="13.5" customHeight="1">
      <c r="J63" s="17">
        <v>11</v>
      </c>
      <c r="K63" s="73">
        <f>'NACA 4-Disit'!I38-'基本設計'!$N$49</f>
        <v>-0.049798957232140006</v>
      </c>
      <c r="L63" s="74">
        <f>'NACA 4-Disit'!J38+0.0000001</f>
        <v>0.08428766071519252</v>
      </c>
      <c r="M63" s="18">
        <f t="shared" si="1"/>
        <v>-1.5985465271516943</v>
      </c>
      <c r="N63" s="19">
        <f t="shared" si="25"/>
        <v>2.70563390895768</v>
      </c>
      <c r="O63" s="18">
        <f t="shared" si="26"/>
        <v>-0.4301159653138791</v>
      </c>
      <c r="P63" s="19">
        <f t="shared" si="25"/>
        <v>2.5707736518133717</v>
      </c>
      <c r="Q63" s="18">
        <f t="shared" si="26"/>
        <v>0.7383145829145334</v>
      </c>
      <c r="R63" s="19">
        <f t="shared" si="2"/>
        <v>2.4359133946690634</v>
      </c>
      <c r="S63" s="18">
        <f t="shared" si="3"/>
        <v>1.9067451311429455</v>
      </c>
      <c r="T63" s="19">
        <f t="shared" si="4"/>
        <v>2.3010531375247556</v>
      </c>
      <c r="U63" s="18">
        <f t="shared" si="5"/>
        <v>3.0751756793713576</v>
      </c>
      <c r="V63" s="19">
        <f t="shared" si="6"/>
        <v>2.1661928803804478</v>
      </c>
      <c r="W63" s="18">
        <f t="shared" si="7"/>
        <v>4.24360622759977</v>
      </c>
      <c r="X63" s="19">
        <f t="shared" si="8"/>
        <v>2.03133262323614</v>
      </c>
      <c r="Y63" s="18">
        <f t="shared" si="9"/>
        <v>5.412036775828183</v>
      </c>
      <c r="Z63" s="19">
        <f t="shared" si="10"/>
        <v>1.8964723660918317</v>
      </c>
      <c r="AA63" s="18">
        <f t="shared" si="11"/>
        <v>6.580467324056595</v>
      </c>
      <c r="AB63" s="19">
        <f t="shared" si="12"/>
        <v>1.7616121089475234</v>
      </c>
      <c r="AC63" s="18">
        <f t="shared" si="13"/>
        <v>0</v>
      </c>
      <c r="AD63" s="19">
        <f t="shared" si="14"/>
        <v>0</v>
      </c>
      <c r="AE63" s="18">
        <f t="shared" si="15"/>
        <v>0</v>
      </c>
      <c r="AF63" s="19">
        <f t="shared" si="16"/>
        <v>0</v>
      </c>
      <c r="AG63" s="18">
        <f t="shared" si="17"/>
        <v>0</v>
      </c>
      <c r="AH63" s="19">
        <f t="shared" si="18"/>
        <v>0</v>
      </c>
      <c r="AI63" s="18">
        <f t="shared" si="19"/>
        <v>0</v>
      </c>
      <c r="AJ63" s="19">
        <f t="shared" si="20"/>
        <v>0</v>
      </c>
      <c r="AK63" s="18">
        <f t="shared" si="21"/>
        <v>0</v>
      </c>
      <c r="AL63" s="19">
        <f t="shared" si="22"/>
        <v>0</v>
      </c>
      <c r="AM63" s="18">
        <f t="shared" si="23"/>
        <v>0</v>
      </c>
      <c r="AN63" s="20">
        <f t="shared" si="24"/>
        <v>0</v>
      </c>
    </row>
    <row r="64" spans="10:40" ht="13.5" customHeight="1">
      <c r="J64" s="21">
        <v>12</v>
      </c>
      <c r="K64" s="73">
        <f>'NACA 4-Disit'!I39-'基本設計'!$N$49</f>
        <v>0.00040627956297667467</v>
      </c>
      <c r="L64" s="74">
        <f>'NACA 4-Disit'!J39+0.0000001</f>
        <v>0.08470833007626717</v>
      </c>
      <c r="M64" s="22">
        <f t="shared" si="1"/>
        <v>0.013041573971551257</v>
      </c>
      <c r="N64" s="23">
        <f t="shared" si="25"/>
        <v>2.7191373954481763</v>
      </c>
      <c r="O64" s="22">
        <f t="shared" si="26"/>
        <v>1.1011437569371796</v>
      </c>
      <c r="P64" s="23">
        <f t="shared" si="25"/>
        <v>2.583604067326149</v>
      </c>
      <c r="Q64" s="22">
        <f t="shared" si="26"/>
        <v>2.189245926293405</v>
      </c>
      <c r="R64" s="23">
        <f t="shared" si="2"/>
        <v>2.448070739204121</v>
      </c>
      <c r="S64" s="22">
        <f t="shared" si="3"/>
        <v>3.2773480956496313</v>
      </c>
      <c r="T64" s="23">
        <f t="shared" si="4"/>
        <v>2.312537411082094</v>
      </c>
      <c r="U64" s="22">
        <f t="shared" si="5"/>
        <v>4.365450265005856</v>
      </c>
      <c r="V64" s="23">
        <f t="shared" si="6"/>
        <v>2.177004082960066</v>
      </c>
      <c r="W64" s="22">
        <f t="shared" si="7"/>
        <v>5.4535524343620825</v>
      </c>
      <c r="X64" s="23">
        <f t="shared" si="8"/>
        <v>2.041470754838039</v>
      </c>
      <c r="Y64" s="22">
        <f t="shared" si="9"/>
        <v>6.541654603718308</v>
      </c>
      <c r="Z64" s="23">
        <f t="shared" si="10"/>
        <v>1.9059374267160114</v>
      </c>
      <c r="AA64" s="22">
        <f t="shared" si="11"/>
        <v>7.629756773074534</v>
      </c>
      <c r="AB64" s="23">
        <f t="shared" si="12"/>
        <v>1.7704040985939837</v>
      </c>
      <c r="AC64" s="22">
        <f t="shared" si="13"/>
        <v>0</v>
      </c>
      <c r="AD64" s="23">
        <f t="shared" si="14"/>
        <v>0</v>
      </c>
      <c r="AE64" s="22">
        <f t="shared" si="15"/>
        <v>0</v>
      </c>
      <c r="AF64" s="23">
        <f t="shared" si="16"/>
        <v>0</v>
      </c>
      <c r="AG64" s="22">
        <f t="shared" si="17"/>
        <v>0</v>
      </c>
      <c r="AH64" s="23">
        <f t="shared" si="18"/>
        <v>0</v>
      </c>
      <c r="AI64" s="22">
        <f t="shared" si="19"/>
        <v>0</v>
      </c>
      <c r="AJ64" s="23">
        <f t="shared" si="20"/>
        <v>0</v>
      </c>
      <c r="AK64" s="22">
        <f t="shared" si="21"/>
        <v>0</v>
      </c>
      <c r="AL64" s="23">
        <f t="shared" si="22"/>
        <v>0</v>
      </c>
      <c r="AM64" s="22">
        <f t="shared" si="23"/>
        <v>0</v>
      </c>
      <c r="AN64" s="24">
        <f t="shared" si="24"/>
        <v>0</v>
      </c>
    </row>
    <row r="65" spans="10:40" ht="13.5" customHeight="1">
      <c r="J65" s="17">
        <v>13</v>
      </c>
      <c r="K65" s="73">
        <f>'NACA 4-Disit'!I40-'基本設計'!$N$49</f>
        <v>0.05060405470081619</v>
      </c>
      <c r="L65" s="74">
        <f>'NACA 4-Disit'!J40+0.0000001</f>
        <v>0.0837401430870632</v>
      </c>
      <c r="M65" s="18">
        <f t="shared" si="1"/>
        <v>1.6243901558962</v>
      </c>
      <c r="N65" s="19">
        <f t="shared" si="25"/>
        <v>2.688058593094729</v>
      </c>
      <c r="O65" s="18">
        <f t="shared" si="26"/>
        <v>2.632175898641285</v>
      </c>
      <c r="P65" s="19">
        <f t="shared" si="25"/>
        <v>2.554074364155428</v>
      </c>
      <c r="Q65" s="18">
        <f t="shared" si="26"/>
        <v>3.6399616277769673</v>
      </c>
      <c r="R65" s="19">
        <f t="shared" si="2"/>
        <v>2.4200901352161264</v>
      </c>
      <c r="S65" s="18">
        <f t="shared" si="3"/>
        <v>4.6477473569126495</v>
      </c>
      <c r="T65" s="19">
        <f t="shared" si="4"/>
        <v>2.2861059062768256</v>
      </c>
      <c r="U65" s="18">
        <f t="shared" si="5"/>
        <v>5.655533086048331</v>
      </c>
      <c r="V65" s="19">
        <f t="shared" si="6"/>
        <v>2.1521216773375245</v>
      </c>
      <c r="W65" s="18">
        <f t="shared" si="7"/>
        <v>6.663318815184015</v>
      </c>
      <c r="X65" s="19">
        <f t="shared" si="8"/>
        <v>2.0181374483982233</v>
      </c>
      <c r="Y65" s="18">
        <f t="shared" si="9"/>
        <v>7.671104544319697</v>
      </c>
      <c r="Z65" s="19">
        <f t="shared" si="10"/>
        <v>1.8841532194589221</v>
      </c>
      <c r="AA65" s="18">
        <f t="shared" si="11"/>
        <v>8.67889027345538</v>
      </c>
      <c r="AB65" s="19">
        <f t="shared" si="12"/>
        <v>1.750168990519621</v>
      </c>
      <c r="AC65" s="18">
        <f t="shared" si="13"/>
        <v>0</v>
      </c>
      <c r="AD65" s="19">
        <f t="shared" si="14"/>
        <v>0</v>
      </c>
      <c r="AE65" s="18">
        <f t="shared" si="15"/>
        <v>0</v>
      </c>
      <c r="AF65" s="19">
        <f t="shared" si="16"/>
        <v>0</v>
      </c>
      <c r="AG65" s="18">
        <f t="shared" si="17"/>
        <v>0</v>
      </c>
      <c r="AH65" s="19">
        <f t="shared" si="18"/>
        <v>0</v>
      </c>
      <c r="AI65" s="18">
        <f t="shared" si="19"/>
        <v>0</v>
      </c>
      <c r="AJ65" s="19">
        <f t="shared" si="20"/>
        <v>0</v>
      </c>
      <c r="AK65" s="18">
        <f t="shared" si="21"/>
        <v>0</v>
      </c>
      <c r="AL65" s="19">
        <f t="shared" si="22"/>
        <v>0</v>
      </c>
      <c r="AM65" s="18">
        <f t="shared" si="23"/>
        <v>0</v>
      </c>
      <c r="AN65" s="20">
        <f t="shared" si="24"/>
        <v>0</v>
      </c>
    </row>
    <row r="66" spans="10:40" ht="13.5" customHeight="1">
      <c r="J66" s="17">
        <v>14</v>
      </c>
      <c r="K66" s="73">
        <f>'NACA 4-Disit'!I41-'基本設計'!$N$49</f>
        <v>0.10078570111168605</v>
      </c>
      <c r="L66" s="74">
        <f>'NACA 4-Disit'!J41+0.0000001</f>
        <v>0.08161418893488295</v>
      </c>
      <c r="M66" s="18">
        <f t="shared" si="1"/>
        <v>3.2352210056851223</v>
      </c>
      <c r="N66" s="19">
        <f t="shared" si="25"/>
        <v>2.6198154648097427</v>
      </c>
      <c r="O66" s="18">
        <f t="shared" si="26"/>
        <v>4.162716114172816</v>
      </c>
      <c r="P66" s="19">
        <f t="shared" si="25"/>
        <v>2.48923276251393</v>
      </c>
      <c r="Q66" s="18">
        <f t="shared" si="26"/>
        <v>5.090211209051106</v>
      </c>
      <c r="R66" s="19">
        <f t="shared" si="2"/>
        <v>2.358650060218117</v>
      </c>
      <c r="S66" s="18">
        <f t="shared" si="3"/>
        <v>6.017706303929398</v>
      </c>
      <c r="T66" s="19">
        <f t="shared" si="4"/>
        <v>2.2280673579223045</v>
      </c>
      <c r="U66" s="18">
        <f t="shared" si="5"/>
        <v>6.945201398807687</v>
      </c>
      <c r="V66" s="19">
        <f t="shared" si="6"/>
        <v>2.097484655626492</v>
      </c>
      <c r="W66" s="18">
        <f t="shared" si="7"/>
        <v>7.872696493685979</v>
      </c>
      <c r="X66" s="19">
        <f t="shared" si="8"/>
        <v>1.9669019533306793</v>
      </c>
      <c r="Y66" s="18">
        <f t="shared" si="9"/>
        <v>8.800191588564267</v>
      </c>
      <c r="Z66" s="19">
        <f t="shared" si="10"/>
        <v>1.8363192510348665</v>
      </c>
      <c r="AA66" s="18">
        <f t="shared" si="11"/>
        <v>9.72768668344256</v>
      </c>
      <c r="AB66" s="19">
        <f t="shared" si="12"/>
        <v>1.7057365487390537</v>
      </c>
      <c r="AC66" s="18">
        <f t="shared" si="13"/>
        <v>0</v>
      </c>
      <c r="AD66" s="19">
        <f t="shared" si="14"/>
        <v>0</v>
      </c>
      <c r="AE66" s="18">
        <f t="shared" si="15"/>
        <v>0</v>
      </c>
      <c r="AF66" s="19">
        <f t="shared" si="16"/>
        <v>0</v>
      </c>
      <c r="AG66" s="18">
        <f t="shared" si="17"/>
        <v>0</v>
      </c>
      <c r="AH66" s="19">
        <f t="shared" si="18"/>
        <v>0</v>
      </c>
      <c r="AI66" s="18">
        <f t="shared" si="19"/>
        <v>0</v>
      </c>
      <c r="AJ66" s="19">
        <f t="shared" si="20"/>
        <v>0</v>
      </c>
      <c r="AK66" s="18">
        <f t="shared" si="21"/>
        <v>0</v>
      </c>
      <c r="AL66" s="19">
        <f t="shared" si="22"/>
        <v>0</v>
      </c>
      <c r="AM66" s="18">
        <f t="shared" si="23"/>
        <v>0</v>
      </c>
      <c r="AN66" s="20">
        <f t="shared" si="24"/>
        <v>0</v>
      </c>
    </row>
    <row r="67" spans="10:40" ht="13.5" customHeight="1">
      <c r="J67" s="17">
        <v>15</v>
      </c>
      <c r="K67" s="73">
        <f>'NACA 4-Disit'!I42-'基本設計'!$N$49</f>
        <v>0.1509445034489988</v>
      </c>
      <c r="L67" s="74">
        <f>'NACA 4-Disit'!J42+0.0000001</f>
        <v>0.07850159573592175</v>
      </c>
      <c r="M67" s="18">
        <f t="shared" si="1"/>
        <v>4.845318560712862</v>
      </c>
      <c r="N67" s="19">
        <f t="shared" si="25"/>
        <v>2.5199012231230884</v>
      </c>
      <c r="O67" s="18">
        <f t="shared" si="26"/>
        <v>5.692559585460854</v>
      </c>
      <c r="P67" s="19">
        <f t="shared" si="25"/>
        <v>2.3942986699456132</v>
      </c>
      <c r="Q67" s="18">
        <f t="shared" si="26"/>
        <v>6.539800596599445</v>
      </c>
      <c r="R67" s="19">
        <f t="shared" si="2"/>
        <v>2.2686961167681385</v>
      </c>
      <c r="S67" s="18">
        <f t="shared" si="3"/>
        <v>7.387041607738035</v>
      </c>
      <c r="T67" s="19">
        <f t="shared" si="4"/>
        <v>2.143093563590664</v>
      </c>
      <c r="U67" s="18">
        <f t="shared" si="5"/>
        <v>8.234282618876625</v>
      </c>
      <c r="V67" s="19">
        <f t="shared" si="6"/>
        <v>2.0174910104131887</v>
      </c>
      <c r="W67" s="18">
        <f t="shared" si="7"/>
        <v>9.081523630015216</v>
      </c>
      <c r="X67" s="19">
        <f t="shared" si="8"/>
        <v>1.8918884572357142</v>
      </c>
      <c r="Y67" s="18">
        <f t="shared" si="9"/>
        <v>9.928764641153805</v>
      </c>
      <c r="Z67" s="19">
        <f t="shared" si="10"/>
        <v>1.7662859040582393</v>
      </c>
      <c r="AA67" s="18">
        <f t="shared" si="11"/>
        <v>10.776005652292396</v>
      </c>
      <c r="AB67" s="19">
        <f t="shared" si="12"/>
        <v>1.6406833508807643</v>
      </c>
      <c r="AC67" s="18">
        <f t="shared" si="13"/>
        <v>0</v>
      </c>
      <c r="AD67" s="19">
        <f t="shared" si="14"/>
        <v>0</v>
      </c>
      <c r="AE67" s="18">
        <f t="shared" si="15"/>
        <v>0</v>
      </c>
      <c r="AF67" s="19">
        <f t="shared" si="16"/>
        <v>0</v>
      </c>
      <c r="AG67" s="18">
        <f t="shared" si="17"/>
        <v>0</v>
      </c>
      <c r="AH67" s="19">
        <f t="shared" si="18"/>
        <v>0</v>
      </c>
      <c r="AI67" s="18">
        <f t="shared" si="19"/>
        <v>0</v>
      </c>
      <c r="AJ67" s="19">
        <f t="shared" si="20"/>
        <v>0</v>
      </c>
      <c r="AK67" s="18">
        <f t="shared" si="21"/>
        <v>0</v>
      </c>
      <c r="AL67" s="19">
        <f t="shared" si="22"/>
        <v>0</v>
      </c>
      <c r="AM67" s="18">
        <f t="shared" si="23"/>
        <v>0</v>
      </c>
      <c r="AN67" s="20">
        <f t="shared" si="24"/>
        <v>0</v>
      </c>
    </row>
    <row r="68" spans="10:40" ht="13.5" customHeight="1">
      <c r="J68" s="17">
        <v>16</v>
      </c>
      <c r="K68" s="73">
        <f>'NACA 4-Disit'!I43-'基本設計'!$N$49</f>
        <v>0.20107513601027904</v>
      </c>
      <c r="L68" s="74">
        <f>'NACA 4-Disit'!J43+0.0000001</f>
        <v>0.0745335205482151</v>
      </c>
      <c r="M68" s="18">
        <f t="shared" si="1"/>
        <v>6.454511865929957</v>
      </c>
      <c r="N68" s="19">
        <f t="shared" si="25"/>
        <v>2.392526009597705</v>
      </c>
      <c r="O68" s="18">
        <f t="shared" si="26"/>
        <v>7.221543878579902</v>
      </c>
      <c r="P68" s="19">
        <f t="shared" si="25"/>
        <v>2.2732723767205605</v>
      </c>
      <c r="Q68" s="18">
        <f t="shared" si="26"/>
        <v>7.988575877620443</v>
      </c>
      <c r="R68" s="19">
        <f t="shared" si="2"/>
        <v>2.1540187438434164</v>
      </c>
      <c r="S68" s="18">
        <f t="shared" si="3"/>
        <v>8.755607876660985</v>
      </c>
      <c r="T68" s="19">
        <f t="shared" si="4"/>
        <v>2.0347651109662723</v>
      </c>
      <c r="U68" s="18">
        <f t="shared" si="5"/>
        <v>9.522639875701527</v>
      </c>
      <c r="V68" s="19">
        <f t="shared" si="6"/>
        <v>1.915511478089128</v>
      </c>
      <c r="W68" s="18">
        <f t="shared" si="7"/>
        <v>10.28967187474207</v>
      </c>
      <c r="X68" s="19">
        <f t="shared" si="8"/>
        <v>1.7962578452119842</v>
      </c>
      <c r="Y68" s="18">
        <f t="shared" si="9"/>
        <v>11.05670387378261</v>
      </c>
      <c r="Z68" s="19">
        <f t="shared" si="10"/>
        <v>1.6770042123348399</v>
      </c>
      <c r="AA68" s="18">
        <f t="shared" si="11"/>
        <v>11.823735872823153</v>
      </c>
      <c r="AB68" s="19">
        <f t="shared" si="12"/>
        <v>1.5577505794576956</v>
      </c>
      <c r="AC68" s="18">
        <f t="shared" si="13"/>
        <v>0</v>
      </c>
      <c r="AD68" s="19">
        <f t="shared" si="14"/>
        <v>0</v>
      </c>
      <c r="AE68" s="18">
        <f t="shared" si="15"/>
        <v>0</v>
      </c>
      <c r="AF68" s="19">
        <f t="shared" si="16"/>
        <v>0</v>
      </c>
      <c r="AG68" s="18">
        <f t="shared" si="17"/>
        <v>0</v>
      </c>
      <c r="AH68" s="19">
        <f t="shared" si="18"/>
        <v>0</v>
      </c>
      <c r="AI68" s="18">
        <f t="shared" si="19"/>
        <v>0</v>
      </c>
      <c r="AJ68" s="19">
        <f t="shared" si="20"/>
        <v>0</v>
      </c>
      <c r="AK68" s="18">
        <f t="shared" si="21"/>
        <v>0</v>
      </c>
      <c r="AL68" s="19">
        <f t="shared" si="22"/>
        <v>0</v>
      </c>
      <c r="AM68" s="18">
        <f t="shared" si="23"/>
        <v>0</v>
      </c>
      <c r="AN68" s="20">
        <f t="shared" si="24"/>
        <v>0</v>
      </c>
    </row>
    <row r="69" spans="10:40" ht="13.5" customHeight="1">
      <c r="J69" s="17">
        <v>17</v>
      </c>
      <c r="K69" s="73">
        <f>'NACA 4-Disit'!I44-'基本設計'!$N$49</f>
        <v>0.2511733224080994</v>
      </c>
      <c r="L69" s="74">
        <f>'NACA 4-Disit'!J44+0.0000001</f>
        <v>0.06981414222739836</v>
      </c>
      <c r="M69" s="18">
        <f t="shared" si="1"/>
        <v>8.062663649299992</v>
      </c>
      <c r="N69" s="19">
        <f t="shared" si="25"/>
        <v>2.2410339654994873</v>
      </c>
      <c r="O69" s="18">
        <f t="shared" si="26"/>
        <v>8.749538563713424</v>
      </c>
      <c r="P69" s="19">
        <f t="shared" si="25"/>
        <v>2.1293313379356498</v>
      </c>
      <c r="Q69" s="18">
        <f t="shared" si="26"/>
        <v>9.436413464517452</v>
      </c>
      <c r="R69" s="19">
        <f t="shared" si="2"/>
        <v>2.0176287103718127</v>
      </c>
      <c r="S69" s="18">
        <f t="shared" si="3"/>
        <v>10.123288365321482</v>
      </c>
      <c r="T69" s="19">
        <f t="shared" si="4"/>
        <v>1.9059260828079754</v>
      </c>
      <c r="U69" s="18">
        <f t="shared" si="5"/>
        <v>10.81016326612551</v>
      </c>
      <c r="V69" s="19">
        <f t="shared" si="6"/>
        <v>1.7942234552441378</v>
      </c>
      <c r="W69" s="18">
        <f t="shared" si="7"/>
        <v>11.497038166929542</v>
      </c>
      <c r="X69" s="19">
        <f t="shared" si="8"/>
        <v>1.6825208276803005</v>
      </c>
      <c r="Y69" s="18">
        <f t="shared" si="9"/>
        <v>12.18391306773357</v>
      </c>
      <c r="Z69" s="19">
        <f t="shared" si="10"/>
        <v>1.570818200116463</v>
      </c>
      <c r="AA69" s="18">
        <f t="shared" si="11"/>
        <v>12.870787968537599</v>
      </c>
      <c r="AB69" s="19">
        <f t="shared" si="12"/>
        <v>1.4591155725526257</v>
      </c>
      <c r="AC69" s="18">
        <f t="shared" si="13"/>
        <v>0</v>
      </c>
      <c r="AD69" s="19">
        <f t="shared" si="14"/>
        <v>0</v>
      </c>
      <c r="AE69" s="18">
        <f t="shared" si="15"/>
        <v>0</v>
      </c>
      <c r="AF69" s="19">
        <f t="shared" si="16"/>
        <v>0</v>
      </c>
      <c r="AG69" s="18">
        <f t="shared" si="17"/>
        <v>0</v>
      </c>
      <c r="AH69" s="19">
        <f t="shared" si="18"/>
        <v>0</v>
      </c>
      <c r="AI69" s="18">
        <f t="shared" si="19"/>
        <v>0</v>
      </c>
      <c r="AJ69" s="19">
        <f t="shared" si="20"/>
        <v>0</v>
      </c>
      <c r="AK69" s="18">
        <f t="shared" si="21"/>
        <v>0</v>
      </c>
      <c r="AL69" s="19">
        <f t="shared" si="22"/>
        <v>0</v>
      </c>
      <c r="AM69" s="18">
        <f t="shared" si="23"/>
        <v>0</v>
      </c>
      <c r="AN69" s="20">
        <f t="shared" si="24"/>
        <v>0</v>
      </c>
    </row>
    <row r="70" spans="10:40" ht="13.5" customHeight="1">
      <c r="J70" s="17">
        <v>18</v>
      </c>
      <c r="K70" s="73">
        <f>'NACA 4-Disit'!I45-'基本設計'!$N$49</f>
        <v>0.3012355389231516</v>
      </c>
      <c r="L70" s="74">
        <f>'NACA 4-Disit'!J45+0.0000001</f>
        <v>0.064425656926064</v>
      </c>
      <c r="M70" s="18">
        <f t="shared" si="1"/>
        <v>9.669660799433165</v>
      </c>
      <c r="N70" s="19">
        <f t="shared" si="25"/>
        <v>2.0680635873266544</v>
      </c>
      <c r="O70" s="18">
        <f t="shared" si="26"/>
        <v>10.276436167422514</v>
      </c>
      <c r="P70" s="19">
        <f t="shared" si="25"/>
        <v>1.964982536244952</v>
      </c>
      <c r="Q70" s="18">
        <f t="shared" si="26"/>
        <v>10.88321152180246</v>
      </c>
      <c r="R70" s="19">
        <f t="shared" si="2"/>
        <v>1.8619014851632496</v>
      </c>
      <c r="S70" s="18">
        <f t="shared" si="3"/>
        <v>11.489986876182407</v>
      </c>
      <c r="T70" s="19">
        <f t="shared" si="4"/>
        <v>1.7588204340815472</v>
      </c>
      <c r="U70" s="18">
        <f t="shared" si="5"/>
        <v>12.096762230562351</v>
      </c>
      <c r="V70" s="19">
        <f t="shared" si="6"/>
        <v>1.6557393829998448</v>
      </c>
      <c r="W70" s="18">
        <f t="shared" si="7"/>
        <v>12.703537584942298</v>
      </c>
      <c r="X70" s="19">
        <f t="shared" si="8"/>
        <v>1.5526583319181426</v>
      </c>
      <c r="Y70" s="18">
        <f t="shared" si="9"/>
        <v>13.310312939322243</v>
      </c>
      <c r="Z70" s="19">
        <f t="shared" si="10"/>
        <v>1.44957728083644</v>
      </c>
      <c r="AA70" s="18">
        <f t="shared" si="11"/>
        <v>13.91708829370219</v>
      </c>
      <c r="AB70" s="19">
        <f t="shared" si="12"/>
        <v>1.3464962297547376</v>
      </c>
      <c r="AC70" s="18">
        <f t="shared" si="13"/>
        <v>0</v>
      </c>
      <c r="AD70" s="19">
        <f t="shared" si="14"/>
        <v>0</v>
      </c>
      <c r="AE70" s="18">
        <f t="shared" si="15"/>
        <v>0</v>
      </c>
      <c r="AF70" s="19">
        <f t="shared" si="16"/>
        <v>0</v>
      </c>
      <c r="AG70" s="18">
        <f t="shared" si="17"/>
        <v>0</v>
      </c>
      <c r="AH70" s="19">
        <f t="shared" si="18"/>
        <v>0</v>
      </c>
      <c r="AI70" s="18">
        <f t="shared" si="19"/>
        <v>0</v>
      </c>
      <c r="AJ70" s="19">
        <f t="shared" si="20"/>
        <v>0</v>
      </c>
      <c r="AK70" s="18">
        <f t="shared" si="21"/>
        <v>0</v>
      </c>
      <c r="AL70" s="19">
        <f t="shared" si="22"/>
        <v>0</v>
      </c>
      <c r="AM70" s="18">
        <f t="shared" si="23"/>
        <v>0</v>
      </c>
      <c r="AN70" s="20">
        <f t="shared" si="24"/>
        <v>0</v>
      </c>
    </row>
    <row r="71" spans="10:40" ht="13.5" customHeight="1">
      <c r="J71" s="17">
        <v>19</v>
      </c>
      <c r="K71" s="73">
        <f>'NACA 4-Disit'!I46-'基本設計'!$N$49</f>
        <v>0.35125864288076813</v>
      </c>
      <c r="L71" s="74">
        <f>'NACA 4-Disit'!J46+0.0000001</f>
        <v>0.058427277427311505</v>
      </c>
      <c r="M71" s="18">
        <f t="shared" si="1"/>
        <v>11.275402436472657</v>
      </c>
      <c r="N71" s="19">
        <f t="shared" si="25"/>
        <v>1.8755156054166995</v>
      </c>
      <c r="O71" s="18">
        <f t="shared" si="26"/>
        <v>11.802140838129818</v>
      </c>
      <c r="P71" s="19">
        <f t="shared" si="25"/>
        <v>1.782031961533001</v>
      </c>
      <c r="Q71" s="18">
        <f t="shared" si="26"/>
        <v>12.328879226177577</v>
      </c>
      <c r="R71" s="19">
        <f t="shared" si="2"/>
        <v>1.6885483176493024</v>
      </c>
      <c r="S71" s="18">
        <f t="shared" si="3"/>
        <v>12.855617614225338</v>
      </c>
      <c r="T71" s="19">
        <f t="shared" si="4"/>
        <v>1.5950646737656042</v>
      </c>
      <c r="U71" s="18">
        <f t="shared" si="5"/>
        <v>13.382356002273095</v>
      </c>
      <c r="V71" s="19">
        <f t="shared" si="6"/>
        <v>1.5015810298819057</v>
      </c>
      <c r="W71" s="18">
        <f t="shared" si="7"/>
        <v>13.909094390320856</v>
      </c>
      <c r="X71" s="19">
        <f t="shared" si="8"/>
        <v>1.4080973859982073</v>
      </c>
      <c r="Y71" s="18">
        <f t="shared" si="9"/>
        <v>14.435832778368615</v>
      </c>
      <c r="Z71" s="19">
        <f t="shared" si="10"/>
        <v>1.3146137421145088</v>
      </c>
      <c r="AA71" s="18">
        <f t="shared" si="11"/>
        <v>14.962571166416375</v>
      </c>
      <c r="AB71" s="19">
        <f t="shared" si="12"/>
        <v>1.2211300982308104</v>
      </c>
      <c r="AC71" s="18">
        <f t="shared" si="13"/>
        <v>0</v>
      </c>
      <c r="AD71" s="19">
        <f t="shared" si="14"/>
        <v>0</v>
      </c>
      <c r="AE71" s="18">
        <f t="shared" si="15"/>
        <v>0</v>
      </c>
      <c r="AF71" s="19">
        <f t="shared" si="16"/>
        <v>0</v>
      </c>
      <c r="AG71" s="18">
        <f t="shared" si="17"/>
        <v>0</v>
      </c>
      <c r="AH71" s="19">
        <f t="shared" si="18"/>
        <v>0</v>
      </c>
      <c r="AI71" s="18">
        <f t="shared" si="19"/>
        <v>0</v>
      </c>
      <c r="AJ71" s="19">
        <f t="shared" si="20"/>
        <v>0</v>
      </c>
      <c r="AK71" s="18">
        <f t="shared" si="21"/>
        <v>0</v>
      </c>
      <c r="AL71" s="19">
        <f t="shared" si="22"/>
        <v>0</v>
      </c>
      <c r="AM71" s="18">
        <f t="shared" si="23"/>
        <v>0</v>
      </c>
      <c r="AN71" s="20">
        <f t="shared" si="24"/>
        <v>0</v>
      </c>
    </row>
    <row r="72" spans="10:40" ht="13.5" customHeight="1">
      <c r="J72" s="17">
        <v>20</v>
      </c>
      <c r="K72" s="73">
        <f>'NACA 4-Disit'!I47-'基本設計'!$N$49</f>
        <v>0.4012398259651384</v>
      </c>
      <c r="L72" s="74">
        <f>'NACA 4-Disit'!J47+0.0000001</f>
        <v>0.05186523088442877</v>
      </c>
      <c r="M72" s="18">
        <f t="shared" si="1"/>
        <v>12.879798413480943</v>
      </c>
      <c r="N72" s="19">
        <f t="shared" si="25"/>
        <v>1.6648739113901636</v>
      </c>
      <c r="O72" s="18">
        <f t="shared" si="26"/>
        <v>13.326566922203112</v>
      </c>
      <c r="P72" s="19">
        <f t="shared" si="25"/>
        <v>1.5818895419750776</v>
      </c>
      <c r="Q72" s="18">
        <f t="shared" si="26"/>
        <v>13.773335417315879</v>
      </c>
      <c r="R72" s="19">
        <f t="shared" si="2"/>
        <v>1.4989051725599913</v>
      </c>
      <c r="S72" s="18">
        <f t="shared" si="3"/>
        <v>14.220103912428646</v>
      </c>
      <c r="T72" s="19">
        <f t="shared" si="4"/>
        <v>1.4159208031449055</v>
      </c>
      <c r="U72" s="18">
        <f t="shared" si="5"/>
        <v>14.666872407541412</v>
      </c>
      <c r="V72" s="19">
        <f t="shared" si="6"/>
        <v>1.3329364337298193</v>
      </c>
      <c r="W72" s="18">
        <f t="shared" si="7"/>
        <v>15.11364090265418</v>
      </c>
      <c r="X72" s="19">
        <f t="shared" si="8"/>
        <v>1.2499520643147335</v>
      </c>
      <c r="Y72" s="18">
        <f t="shared" si="9"/>
        <v>15.560409397766946</v>
      </c>
      <c r="Z72" s="19">
        <f t="shared" si="10"/>
        <v>1.1669676948996475</v>
      </c>
      <c r="AA72" s="18">
        <f t="shared" si="11"/>
        <v>16.007177892879714</v>
      </c>
      <c r="AB72" s="19">
        <f t="shared" si="12"/>
        <v>1.0839833254845612</v>
      </c>
      <c r="AC72" s="18">
        <f t="shared" si="13"/>
        <v>0</v>
      </c>
      <c r="AD72" s="19">
        <f t="shared" si="14"/>
        <v>0</v>
      </c>
      <c r="AE72" s="18">
        <f t="shared" si="15"/>
        <v>0</v>
      </c>
      <c r="AF72" s="19">
        <f t="shared" si="16"/>
        <v>0</v>
      </c>
      <c r="AG72" s="18">
        <f t="shared" si="17"/>
        <v>0</v>
      </c>
      <c r="AH72" s="19">
        <f t="shared" si="18"/>
        <v>0</v>
      </c>
      <c r="AI72" s="18">
        <f t="shared" si="19"/>
        <v>0</v>
      </c>
      <c r="AJ72" s="19">
        <f t="shared" si="20"/>
        <v>0</v>
      </c>
      <c r="AK72" s="18">
        <f t="shared" si="21"/>
        <v>0</v>
      </c>
      <c r="AL72" s="19">
        <f t="shared" si="22"/>
        <v>0</v>
      </c>
      <c r="AM72" s="18">
        <f t="shared" si="23"/>
        <v>0</v>
      </c>
      <c r="AN72" s="20">
        <f t="shared" si="24"/>
        <v>0</v>
      </c>
    </row>
    <row r="73" spans="10:40" ht="13.5" customHeight="1">
      <c r="J73" s="17">
        <v>21</v>
      </c>
      <c r="K73" s="73">
        <f>'NACA 4-Disit'!I48-'基本設計'!$N$49</f>
        <v>0.4511762739295837</v>
      </c>
      <c r="L73" s="74">
        <f>'NACA 4-Disit'!J48+0.0000001</f>
        <v>0.044768762042435344</v>
      </c>
      <c r="M73" s="18">
        <f t="shared" si="1"/>
        <v>14.482758393139637</v>
      </c>
      <c r="N73" s="19">
        <f t="shared" si="25"/>
        <v>1.4370772615621745</v>
      </c>
      <c r="O73" s="18">
        <f t="shared" si="26"/>
        <v>14.849628585118694</v>
      </c>
      <c r="P73" s="19">
        <f t="shared" si="25"/>
        <v>1.365447242294278</v>
      </c>
      <c r="Q73" s="18">
        <f t="shared" si="26"/>
        <v>15.216498763488348</v>
      </c>
      <c r="R73" s="19">
        <f t="shared" si="2"/>
        <v>1.2938172230263814</v>
      </c>
      <c r="S73" s="18">
        <f t="shared" si="3"/>
        <v>15.583368941858003</v>
      </c>
      <c r="T73" s="19">
        <f t="shared" si="4"/>
        <v>1.2221872037584849</v>
      </c>
      <c r="U73" s="18">
        <f t="shared" si="5"/>
        <v>15.950239120227657</v>
      </c>
      <c r="V73" s="19">
        <f t="shared" si="6"/>
        <v>1.1505571844905882</v>
      </c>
      <c r="W73" s="18">
        <f t="shared" si="7"/>
        <v>16.317109298597313</v>
      </c>
      <c r="X73" s="19">
        <f t="shared" si="8"/>
        <v>1.078927165222692</v>
      </c>
      <c r="Y73" s="18">
        <f t="shared" si="9"/>
        <v>16.683979476966968</v>
      </c>
      <c r="Z73" s="19">
        <f t="shared" si="10"/>
        <v>1.0072971459547952</v>
      </c>
      <c r="AA73" s="18">
        <f t="shared" si="11"/>
        <v>17.05084965533662</v>
      </c>
      <c r="AB73" s="19">
        <f t="shared" si="12"/>
        <v>0.9356671266868987</v>
      </c>
      <c r="AC73" s="18">
        <f t="shared" si="13"/>
        <v>0</v>
      </c>
      <c r="AD73" s="19">
        <f t="shared" si="14"/>
        <v>0</v>
      </c>
      <c r="AE73" s="18">
        <f t="shared" si="15"/>
        <v>0</v>
      </c>
      <c r="AF73" s="19">
        <f t="shared" si="16"/>
        <v>0</v>
      </c>
      <c r="AG73" s="18">
        <f t="shared" si="17"/>
        <v>0</v>
      </c>
      <c r="AH73" s="19">
        <f t="shared" si="18"/>
        <v>0</v>
      </c>
      <c r="AI73" s="18">
        <f t="shared" si="19"/>
        <v>0</v>
      </c>
      <c r="AJ73" s="19">
        <f t="shared" si="20"/>
        <v>0</v>
      </c>
      <c r="AK73" s="18">
        <f t="shared" si="21"/>
        <v>0</v>
      </c>
      <c r="AL73" s="19">
        <f t="shared" si="22"/>
        <v>0</v>
      </c>
      <c r="AM73" s="18">
        <f t="shared" si="23"/>
        <v>0</v>
      </c>
      <c r="AN73" s="20">
        <f t="shared" si="24"/>
        <v>0</v>
      </c>
    </row>
    <row r="74" spans="10:40" ht="13.5" customHeight="1">
      <c r="J74" s="17">
        <v>22</v>
      </c>
      <c r="K74" s="73">
        <f>'NACA 4-Disit'!I49-'基本設計'!$N$49</f>
        <v>0.5010649763812632</v>
      </c>
      <c r="L74" s="74">
        <f>'NACA 4-Disit'!J49+0.0000001</f>
        <v>0.03715213683368633</v>
      </c>
      <c r="M74" s="18">
        <f t="shared" si="1"/>
        <v>16.08418574183855</v>
      </c>
      <c r="N74" s="19">
        <f t="shared" si="25"/>
        <v>1.1925835923613313</v>
      </c>
      <c r="O74" s="18">
        <f t="shared" si="26"/>
        <v>16.37123400989492</v>
      </c>
      <c r="P74" s="19">
        <f t="shared" si="25"/>
        <v>1.1331401734274331</v>
      </c>
      <c r="Q74" s="18">
        <f t="shared" si="26"/>
        <v>16.658282264341885</v>
      </c>
      <c r="R74" s="19">
        <f t="shared" si="2"/>
        <v>1.073696754493535</v>
      </c>
      <c r="S74" s="18">
        <f t="shared" si="3"/>
        <v>16.945330518788854</v>
      </c>
      <c r="T74" s="19">
        <f t="shared" si="4"/>
        <v>1.0142533355596368</v>
      </c>
      <c r="U74" s="18">
        <f t="shared" si="5"/>
        <v>17.23237877323582</v>
      </c>
      <c r="V74" s="19">
        <f t="shared" si="6"/>
        <v>0.9548099166257387</v>
      </c>
      <c r="W74" s="18">
        <f t="shared" si="7"/>
        <v>17.519427027682788</v>
      </c>
      <c r="X74" s="19">
        <f t="shared" si="8"/>
        <v>0.8953664976918406</v>
      </c>
      <c r="Y74" s="18">
        <f t="shared" si="9"/>
        <v>17.806475282129753</v>
      </c>
      <c r="Z74" s="19">
        <f t="shared" si="10"/>
        <v>0.8359230787579425</v>
      </c>
      <c r="AA74" s="18">
        <f t="shared" si="11"/>
        <v>18.093523536576722</v>
      </c>
      <c r="AB74" s="19">
        <f t="shared" si="12"/>
        <v>0.7764796598240442</v>
      </c>
      <c r="AC74" s="18">
        <f t="shared" si="13"/>
        <v>0</v>
      </c>
      <c r="AD74" s="19">
        <f t="shared" si="14"/>
        <v>0</v>
      </c>
      <c r="AE74" s="18">
        <f t="shared" si="15"/>
        <v>0</v>
      </c>
      <c r="AF74" s="19">
        <f t="shared" si="16"/>
        <v>0</v>
      </c>
      <c r="AG74" s="18">
        <f t="shared" si="17"/>
        <v>0</v>
      </c>
      <c r="AH74" s="19">
        <f t="shared" si="18"/>
        <v>0</v>
      </c>
      <c r="AI74" s="18">
        <f t="shared" si="19"/>
        <v>0</v>
      </c>
      <c r="AJ74" s="19">
        <f t="shared" si="20"/>
        <v>0</v>
      </c>
      <c r="AK74" s="18">
        <f t="shared" si="21"/>
        <v>0</v>
      </c>
      <c r="AL74" s="19">
        <f t="shared" si="22"/>
        <v>0</v>
      </c>
      <c r="AM74" s="18">
        <f t="shared" si="23"/>
        <v>0</v>
      </c>
      <c r="AN74" s="20">
        <f t="shared" si="24"/>
        <v>0</v>
      </c>
    </row>
    <row r="75" spans="10:40" ht="13.5" customHeight="1">
      <c r="J75" s="17">
        <v>23</v>
      </c>
      <c r="K75" s="73">
        <f>'NACA 4-Disit'!I50-'基本設計'!$N$49</f>
        <v>0.5509026959491394</v>
      </c>
      <c r="L75" s="74">
        <f>'NACA 4-Disit'!J50+0.0000001</f>
        <v>0.02901964451727936</v>
      </c>
      <c r="M75" s="18">
        <f t="shared" si="1"/>
        <v>17.683976539967375</v>
      </c>
      <c r="N75" s="19">
        <f t="shared" si="25"/>
        <v>0.9315305890046675</v>
      </c>
      <c r="O75" s="18">
        <f t="shared" si="26"/>
        <v>17.891284456715145</v>
      </c>
      <c r="P75" s="19">
        <f t="shared" si="25"/>
        <v>0.8850991577770204</v>
      </c>
      <c r="Q75" s="18">
        <f t="shared" si="26"/>
        <v>18.09859235985351</v>
      </c>
      <c r="R75" s="19">
        <f t="shared" si="2"/>
        <v>0.8386677265493734</v>
      </c>
      <c r="S75" s="18">
        <f t="shared" si="3"/>
        <v>18.305900262991877</v>
      </c>
      <c r="T75" s="19">
        <f t="shared" si="4"/>
        <v>0.7922362953217266</v>
      </c>
      <c r="U75" s="18">
        <f t="shared" si="5"/>
        <v>18.513208166130237</v>
      </c>
      <c r="V75" s="19">
        <f t="shared" si="6"/>
        <v>0.7458048640940795</v>
      </c>
      <c r="W75" s="18">
        <f t="shared" si="7"/>
        <v>18.720516069268605</v>
      </c>
      <c r="X75" s="19">
        <f t="shared" si="8"/>
        <v>0.6993734328664326</v>
      </c>
      <c r="Y75" s="18">
        <f t="shared" si="9"/>
        <v>18.92782397240697</v>
      </c>
      <c r="Z75" s="19">
        <f t="shared" si="10"/>
        <v>0.6529420016387856</v>
      </c>
      <c r="AA75" s="18">
        <f t="shared" si="11"/>
        <v>19.135131875545333</v>
      </c>
      <c r="AB75" s="19">
        <f t="shared" si="12"/>
        <v>0.6065105704111385</v>
      </c>
      <c r="AC75" s="18">
        <f t="shared" si="13"/>
        <v>0</v>
      </c>
      <c r="AD75" s="19">
        <f t="shared" si="14"/>
        <v>0</v>
      </c>
      <c r="AE75" s="18">
        <f t="shared" si="15"/>
        <v>0</v>
      </c>
      <c r="AF75" s="19">
        <f t="shared" si="16"/>
        <v>0</v>
      </c>
      <c r="AG75" s="18">
        <f t="shared" si="17"/>
        <v>0</v>
      </c>
      <c r="AH75" s="19">
        <f t="shared" si="18"/>
        <v>0</v>
      </c>
      <c r="AI75" s="18">
        <f t="shared" si="19"/>
        <v>0</v>
      </c>
      <c r="AJ75" s="19">
        <f t="shared" si="20"/>
        <v>0</v>
      </c>
      <c r="AK75" s="18">
        <f t="shared" si="21"/>
        <v>0</v>
      </c>
      <c r="AL75" s="19">
        <f t="shared" si="22"/>
        <v>0</v>
      </c>
      <c r="AM75" s="18">
        <f t="shared" si="23"/>
        <v>0</v>
      </c>
      <c r="AN75" s="20">
        <f t="shared" si="24"/>
        <v>0</v>
      </c>
    </row>
    <row r="76" spans="10:40" ht="13.5" customHeight="1">
      <c r="J76" s="17">
        <v>24</v>
      </c>
      <c r="K76" s="73">
        <f>'NACA 4-Disit'!I51-'基本設計'!$N$49</f>
        <v>0.600685637791241</v>
      </c>
      <c r="L76" s="74">
        <f>'NACA 4-Disit'!J51+0.0000001</f>
        <v>0.020361606656935677</v>
      </c>
      <c r="M76" s="18">
        <f t="shared" si="1"/>
        <v>19.282008973098836</v>
      </c>
      <c r="N76" s="19">
        <f t="shared" si="25"/>
        <v>0.6536075736876352</v>
      </c>
      <c r="O76" s="18">
        <f t="shared" si="26"/>
        <v>19.40966418289924</v>
      </c>
      <c r="P76" s="19">
        <f t="shared" si="25"/>
        <v>0.6210290030365382</v>
      </c>
      <c r="Q76" s="18">
        <f t="shared" si="26"/>
        <v>19.537319379090242</v>
      </c>
      <c r="R76" s="19">
        <f t="shared" si="2"/>
        <v>0.588450432385441</v>
      </c>
      <c r="S76" s="18">
        <f t="shared" si="3"/>
        <v>19.664974575281246</v>
      </c>
      <c r="T76" s="19">
        <f t="shared" si="4"/>
        <v>0.555871861734344</v>
      </c>
      <c r="U76" s="18">
        <f t="shared" si="5"/>
        <v>19.79262977147225</v>
      </c>
      <c r="V76" s="19">
        <f t="shared" si="6"/>
        <v>0.5232932910832468</v>
      </c>
      <c r="W76" s="18">
        <f t="shared" si="7"/>
        <v>19.920284967663253</v>
      </c>
      <c r="X76" s="19">
        <f t="shared" si="8"/>
        <v>0.49071472043214986</v>
      </c>
      <c r="Y76" s="18">
        <f t="shared" si="9"/>
        <v>20.047940163854253</v>
      </c>
      <c r="Z76" s="19">
        <f t="shared" si="10"/>
        <v>0.4581361497810527</v>
      </c>
      <c r="AA76" s="18">
        <f t="shared" si="11"/>
        <v>20.175595360045257</v>
      </c>
      <c r="AB76" s="19">
        <f t="shared" si="12"/>
        <v>0.4255575791299556</v>
      </c>
      <c r="AC76" s="18">
        <f t="shared" si="13"/>
        <v>0</v>
      </c>
      <c r="AD76" s="19">
        <f t="shared" si="14"/>
        <v>0</v>
      </c>
      <c r="AE76" s="18">
        <f t="shared" si="15"/>
        <v>0</v>
      </c>
      <c r="AF76" s="19">
        <f t="shared" si="16"/>
        <v>0</v>
      </c>
      <c r="AG76" s="18">
        <f t="shared" si="17"/>
        <v>0</v>
      </c>
      <c r="AH76" s="19">
        <f t="shared" si="18"/>
        <v>0</v>
      </c>
      <c r="AI76" s="18">
        <f t="shared" si="19"/>
        <v>0</v>
      </c>
      <c r="AJ76" s="19">
        <f t="shared" si="20"/>
        <v>0</v>
      </c>
      <c r="AK76" s="18">
        <f t="shared" si="21"/>
        <v>0</v>
      </c>
      <c r="AL76" s="19">
        <f t="shared" si="22"/>
        <v>0</v>
      </c>
      <c r="AM76" s="18">
        <f t="shared" si="23"/>
        <v>0</v>
      </c>
      <c r="AN76" s="20">
        <f t="shared" si="24"/>
        <v>0</v>
      </c>
    </row>
    <row r="77" spans="10:40" ht="13.5" customHeight="1">
      <c r="J77" s="17">
        <v>25</v>
      </c>
      <c r="K77" s="73">
        <f>'NACA 4-Disit'!I52-'基本設計'!$N$49</f>
        <v>0.6504092786150085</v>
      </c>
      <c r="L77" s="74">
        <f>'NACA 4-Disit'!J52+0.0000001</f>
        <v>0.011155385453515493</v>
      </c>
      <c r="M77" s="18">
        <f t="shared" si="1"/>
        <v>20.878137843541776</v>
      </c>
      <c r="N77" s="19">
        <f t="shared" si="25"/>
        <v>0.35808787305784734</v>
      </c>
      <c r="O77" s="18">
        <f t="shared" si="26"/>
        <v>20.92623522802415</v>
      </c>
      <c r="P77" s="19">
        <f t="shared" si="25"/>
        <v>0.3402392563322225</v>
      </c>
      <c r="Q77" s="18">
        <f t="shared" si="26"/>
        <v>20.974332598897124</v>
      </c>
      <c r="R77" s="19">
        <f t="shared" si="2"/>
        <v>0.32239063960659775</v>
      </c>
      <c r="S77" s="18">
        <f t="shared" si="3"/>
        <v>21.0224299697701</v>
      </c>
      <c r="T77" s="19">
        <f t="shared" si="4"/>
        <v>0.304542022880973</v>
      </c>
      <c r="U77" s="18">
        <f t="shared" si="5"/>
        <v>21.070527340643075</v>
      </c>
      <c r="V77" s="19">
        <f t="shared" si="6"/>
        <v>0.28669340615534816</v>
      </c>
      <c r="W77" s="18">
        <f t="shared" si="7"/>
        <v>21.118624711516052</v>
      </c>
      <c r="X77" s="19">
        <f t="shared" si="8"/>
        <v>0.2688447894297234</v>
      </c>
      <c r="Y77" s="18">
        <f t="shared" si="9"/>
        <v>21.166722082389022</v>
      </c>
      <c r="Z77" s="19">
        <f t="shared" si="10"/>
        <v>0.2509961727040986</v>
      </c>
      <c r="AA77" s="18">
        <f t="shared" si="11"/>
        <v>21.214819453262</v>
      </c>
      <c r="AB77" s="19">
        <f t="shared" si="12"/>
        <v>0.23314755597847378</v>
      </c>
      <c r="AC77" s="18">
        <f t="shared" si="13"/>
        <v>0</v>
      </c>
      <c r="AD77" s="19">
        <f t="shared" si="14"/>
        <v>0</v>
      </c>
      <c r="AE77" s="18">
        <f t="shared" si="15"/>
        <v>0</v>
      </c>
      <c r="AF77" s="19">
        <f t="shared" si="16"/>
        <v>0</v>
      </c>
      <c r="AG77" s="18">
        <f t="shared" si="17"/>
        <v>0</v>
      </c>
      <c r="AH77" s="19">
        <f t="shared" si="18"/>
        <v>0</v>
      </c>
      <c r="AI77" s="18">
        <f t="shared" si="19"/>
        <v>0</v>
      </c>
      <c r="AJ77" s="19">
        <f t="shared" si="20"/>
        <v>0</v>
      </c>
      <c r="AK77" s="18">
        <f t="shared" si="21"/>
        <v>0</v>
      </c>
      <c r="AL77" s="19">
        <f t="shared" si="22"/>
        <v>0</v>
      </c>
      <c r="AM77" s="18">
        <f t="shared" si="23"/>
        <v>0</v>
      </c>
      <c r="AN77" s="20">
        <f t="shared" si="24"/>
        <v>0</v>
      </c>
    </row>
    <row r="78" spans="10:40" ht="13.5" customHeight="1" thickBot="1">
      <c r="J78" s="54">
        <v>26</v>
      </c>
      <c r="K78" s="75">
        <f>'NACA 4-Disit'!I53-'基本設計'!$N$49</f>
        <v>0.7000683145352132</v>
      </c>
      <c r="L78" s="76">
        <f>'NACA 4-Disit'!J53+0.0000001</f>
        <v>0.001368390704262647</v>
      </c>
      <c r="M78" s="55">
        <f t="shared" si="1"/>
        <v>22.472192896580346</v>
      </c>
      <c r="N78" s="56">
        <f t="shared" si="25"/>
        <v>0.043925341606830974</v>
      </c>
      <c r="O78" s="55">
        <f t="shared" si="26"/>
        <v>22.440835823590394</v>
      </c>
      <c r="P78" s="56">
        <f t="shared" si="25"/>
        <v>0.04173591648001074</v>
      </c>
      <c r="Q78" s="55">
        <f t="shared" si="26"/>
        <v>22.40947873699104</v>
      </c>
      <c r="R78" s="56">
        <f t="shared" si="2"/>
        <v>0.0395464913531905</v>
      </c>
      <c r="S78" s="55">
        <f t="shared" si="3"/>
        <v>22.37812165039169</v>
      </c>
      <c r="T78" s="56">
        <f t="shared" si="4"/>
        <v>0.037357066226370264</v>
      </c>
      <c r="U78" s="55">
        <f t="shared" si="5"/>
        <v>22.346764563792338</v>
      </c>
      <c r="V78" s="56">
        <f t="shared" si="6"/>
        <v>0.03516764109955003</v>
      </c>
      <c r="W78" s="55">
        <f t="shared" si="7"/>
        <v>22.315407477192984</v>
      </c>
      <c r="X78" s="56">
        <f t="shared" si="8"/>
        <v>0.0329782159727298</v>
      </c>
      <c r="Y78" s="55">
        <f t="shared" si="9"/>
        <v>22.284050390593627</v>
      </c>
      <c r="Z78" s="56">
        <f t="shared" si="10"/>
        <v>0.030788790845909558</v>
      </c>
      <c r="AA78" s="55">
        <f t="shared" si="11"/>
        <v>22.252693303994278</v>
      </c>
      <c r="AB78" s="56">
        <f t="shared" si="12"/>
        <v>0.02859936571908932</v>
      </c>
      <c r="AC78" s="55">
        <f t="shared" si="13"/>
        <v>0</v>
      </c>
      <c r="AD78" s="56">
        <f t="shared" si="14"/>
        <v>0</v>
      </c>
      <c r="AE78" s="55">
        <f t="shared" si="15"/>
        <v>0</v>
      </c>
      <c r="AF78" s="56">
        <f t="shared" si="16"/>
        <v>0</v>
      </c>
      <c r="AG78" s="55">
        <f t="shared" si="17"/>
        <v>0</v>
      </c>
      <c r="AH78" s="56">
        <f t="shared" si="18"/>
        <v>0</v>
      </c>
      <c r="AI78" s="55">
        <f t="shared" si="19"/>
        <v>0</v>
      </c>
      <c r="AJ78" s="56">
        <f t="shared" si="20"/>
        <v>0</v>
      </c>
      <c r="AK78" s="55">
        <f t="shared" si="21"/>
        <v>0</v>
      </c>
      <c r="AL78" s="56">
        <f t="shared" si="22"/>
        <v>0</v>
      </c>
      <c r="AM78" s="55">
        <f t="shared" si="23"/>
        <v>0</v>
      </c>
      <c r="AN78" s="57">
        <f t="shared" si="24"/>
        <v>0</v>
      </c>
    </row>
    <row r="79" spans="10:40" ht="13.5" customHeight="1">
      <c r="J79" s="58">
        <v>27</v>
      </c>
      <c r="K79" s="71">
        <f>'NACA 4-Disit'!K53-'基本設計'!$N$49</f>
        <v>0.6999314854647869</v>
      </c>
      <c r="L79" s="72">
        <f>'NACA 4-Disit'!L53+0.0000001</f>
        <v>-0.001368190704262647</v>
      </c>
      <c r="M79" s="59">
        <f t="shared" si="1"/>
        <v>22.46780068341966</v>
      </c>
      <c r="N79" s="60">
        <f t="shared" si="25"/>
        <v>-0.04391892160683097</v>
      </c>
      <c r="O79" s="59">
        <f t="shared" si="26"/>
        <v>22.43666253694239</v>
      </c>
      <c r="P79" s="60">
        <f t="shared" si="25"/>
        <v>-0.04172981648001073</v>
      </c>
      <c r="Q79" s="59">
        <f t="shared" si="26"/>
        <v>22.40552437685572</v>
      </c>
      <c r="R79" s="60">
        <f t="shared" si="2"/>
        <v>-0.0395407113531905</v>
      </c>
      <c r="S79" s="59">
        <f t="shared" si="3"/>
        <v>22.37438621676905</v>
      </c>
      <c r="T79" s="60">
        <f t="shared" si="4"/>
        <v>-0.037351606226370265</v>
      </c>
      <c r="U79" s="59">
        <f t="shared" si="5"/>
        <v>22.34324805668238</v>
      </c>
      <c r="V79" s="60">
        <f t="shared" si="6"/>
        <v>-0.03516250109955003</v>
      </c>
      <c r="W79" s="59">
        <f t="shared" si="7"/>
        <v>22.31210989659571</v>
      </c>
      <c r="X79" s="60">
        <f t="shared" si="8"/>
        <v>-0.032973395972729795</v>
      </c>
      <c r="Y79" s="59">
        <f t="shared" si="9"/>
        <v>22.280971736509038</v>
      </c>
      <c r="Z79" s="60">
        <f t="shared" si="10"/>
        <v>-0.030784290845909557</v>
      </c>
      <c r="AA79" s="59">
        <f t="shared" si="11"/>
        <v>22.24983357642237</v>
      </c>
      <c r="AB79" s="60">
        <f t="shared" si="12"/>
        <v>-0.028595185719089318</v>
      </c>
      <c r="AC79" s="59">
        <f t="shared" si="13"/>
        <v>0</v>
      </c>
      <c r="AD79" s="60">
        <f t="shared" si="14"/>
        <v>0</v>
      </c>
      <c r="AE79" s="59">
        <f t="shared" si="15"/>
        <v>0</v>
      </c>
      <c r="AF79" s="60">
        <f t="shared" si="16"/>
        <v>0</v>
      </c>
      <c r="AG79" s="59">
        <f t="shared" si="17"/>
        <v>0</v>
      </c>
      <c r="AH79" s="60">
        <f t="shared" si="18"/>
        <v>0</v>
      </c>
      <c r="AI79" s="59">
        <f t="shared" si="19"/>
        <v>0</v>
      </c>
      <c r="AJ79" s="60">
        <f t="shared" si="20"/>
        <v>0</v>
      </c>
      <c r="AK79" s="59">
        <f t="shared" si="21"/>
        <v>0</v>
      </c>
      <c r="AL79" s="60">
        <f t="shared" si="22"/>
        <v>0</v>
      </c>
      <c r="AM79" s="59">
        <f t="shared" si="23"/>
        <v>0</v>
      </c>
      <c r="AN79" s="61">
        <f t="shared" si="24"/>
        <v>0</v>
      </c>
    </row>
    <row r="80" spans="10:40" ht="13.5" customHeight="1">
      <c r="J80" s="17">
        <v>28</v>
      </c>
      <c r="K80" s="73">
        <f>'NACA 4-Disit'!K52-'基本設計'!$N$49</f>
        <v>0.6495905213849914</v>
      </c>
      <c r="L80" s="74">
        <f>'NACA 4-Disit'!L52+0.0000001</f>
        <v>-0.006311435453515492</v>
      </c>
      <c r="M80" s="18">
        <f t="shared" si="1"/>
        <v>20.851855736458226</v>
      </c>
      <c r="N80" s="19">
        <f t="shared" si="25"/>
        <v>-0.20259707805784732</v>
      </c>
      <c r="O80" s="18">
        <f t="shared" si="26"/>
        <v>20.901263132508628</v>
      </c>
      <c r="P80" s="19">
        <f t="shared" si="25"/>
        <v>-0.1924987813322225</v>
      </c>
      <c r="Q80" s="18">
        <f t="shared" si="26"/>
        <v>20.95067051494963</v>
      </c>
      <c r="R80" s="19">
        <f t="shared" si="2"/>
        <v>-0.18240048460659772</v>
      </c>
      <c r="S80" s="18">
        <f t="shared" si="3"/>
        <v>21.000077897390632</v>
      </c>
      <c r="T80" s="19">
        <f t="shared" si="4"/>
        <v>-0.17230218788097296</v>
      </c>
      <c r="U80" s="18">
        <f t="shared" si="5"/>
        <v>21.049485279831636</v>
      </c>
      <c r="V80" s="19">
        <f t="shared" si="6"/>
        <v>-0.16220389115534814</v>
      </c>
      <c r="W80" s="18">
        <f t="shared" si="7"/>
        <v>21.09889266227264</v>
      </c>
      <c r="X80" s="19">
        <f t="shared" si="8"/>
        <v>-0.15210559442972338</v>
      </c>
      <c r="Y80" s="18">
        <f t="shared" si="9"/>
        <v>21.148300044713636</v>
      </c>
      <c r="Z80" s="19">
        <f t="shared" si="10"/>
        <v>-0.1420072977040986</v>
      </c>
      <c r="AA80" s="18">
        <f t="shared" si="11"/>
        <v>21.19770742715464</v>
      </c>
      <c r="AB80" s="19">
        <f t="shared" si="12"/>
        <v>-0.13190900097847377</v>
      </c>
      <c r="AC80" s="18">
        <f t="shared" si="13"/>
        <v>0</v>
      </c>
      <c r="AD80" s="19">
        <f t="shared" si="14"/>
        <v>0</v>
      </c>
      <c r="AE80" s="18">
        <f t="shared" si="15"/>
        <v>0</v>
      </c>
      <c r="AF80" s="19">
        <f t="shared" si="16"/>
        <v>0</v>
      </c>
      <c r="AG80" s="18">
        <f t="shared" si="17"/>
        <v>0</v>
      </c>
      <c r="AH80" s="19">
        <f t="shared" si="18"/>
        <v>0</v>
      </c>
      <c r="AI80" s="18">
        <f t="shared" si="19"/>
        <v>0</v>
      </c>
      <c r="AJ80" s="19">
        <f t="shared" si="20"/>
        <v>0</v>
      </c>
      <c r="AK80" s="18">
        <f t="shared" si="21"/>
        <v>0</v>
      </c>
      <c r="AL80" s="19">
        <f t="shared" si="22"/>
        <v>0</v>
      </c>
      <c r="AM80" s="18">
        <f t="shared" si="23"/>
        <v>0</v>
      </c>
      <c r="AN80" s="20">
        <f t="shared" si="24"/>
        <v>0</v>
      </c>
    </row>
    <row r="81" spans="10:40" ht="13.5" customHeight="1">
      <c r="J81" s="17">
        <v>29</v>
      </c>
      <c r="K81" s="73">
        <f>'NACA 4-Disit'!K51-'基本設計'!$N$49</f>
        <v>0.5993141622087591</v>
      </c>
      <c r="L81" s="74">
        <f>'NACA 4-Disit'!L51+0.0000001</f>
        <v>-0.010986406656935684</v>
      </c>
      <c r="M81" s="18">
        <f t="shared" si="1"/>
        <v>19.23798460690117</v>
      </c>
      <c r="N81" s="19">
        <f t="shared" si="25"/>
        <v>-0.35266365368763547</v>
      </c>
      <c r="O81" s="18">
        <f t="shared" si="26"/>
        <v>19.367834177633544</v>
      </c>
      <c r="P81" s="19">
        <f t="shared" si="25"/>
        <v>-0.33508540303653833</v>
      </c>
      <c r="Q81" s="18">
        <f t="shared" si="26"/>
        <v>19.497683734756517</v>
      </c>
      <c r="R81" s="19">
        <f t="shared" si="2"/>
        <v>-0.31750715238544125</v>
      </c>
      <c r="S81" s="18">
        <f t="shared" si="3"/>
        <v>19.62753329187949</v>
      </c>
      <c r="T81" s="19">
        <f t="shared" si="4"/>
        <v>-0.29992890173434417</v>
      </c>
      <c r="U81" s="18">
        <f t="shared" si="5"/>
        <v>19.757382849002465</v>
      </c>
      <c r="V81" s="19">
        <f t="shared" si="6"/>
        <v>-0.2823506510832471</v>
      </c>
      <c r="W81" s="18">
        <f t="shared" si="7"/>
        <v>19.887232406125438</v>
      </c>
      <c r="X81" s="19">
        <f t="shared" si="8"/>
        <v>-0.26477240043215</v>
      </c>
      <c r="Y81" s="18">
        <f t="shared" si="9"/>
        <v>20.017081963248412</v>
      </c>
      <c r="Z81" s="19">
        <f t="shared" si="10"/>
        <v>-0.2471941497810529</v>
      </c>
      <c r="AA81" s="18">
        <f t="shared" si="11"/>
        <v>20.146931520371385</v>
      </c>
      <c r="AB81" s="19">
        <f t="shared" si="12"/>
        <v>-0.22961589912995578</v>
      </c>
      <c r="AC81" s="18">
        <f t="shared" si="13"/>
        <v>0</v>
      </c>
      <c r="AD81" s="19">
        <f t="shared" si="14"/>
        <v>0</v>
      </c>
      <c r="AE81" s="18">
        <f t="shared" si="15"/>
        <v>0</v>
      </c>
      <c r="AF81" s="19">
        <f t="shared" si="16"/>
        <v>0</v>
      </c>
      <c r="AG81" s="18">
        <f t="shared" si="17"/>
        <v>0</v>
      </c>
      <c r="AH81" s="19">
        <f t="shared" si="18"/>
        <v>0</v>
      </c>
      <c r="AI81" s="18">
        <f t="shared" si="19"/>
        <v>0</v>
      </c>
      <c r="AJ81" s="19">
        <f t="shared" si="20"/>
        <v>0</v>
      </c>
      <c r="AK81" s="18">
        <f t="shared" si="21"/>
        <v>0</v>
      </c>
      <c r="AL81" s="19">
        <f t="shared" si="22"/>
        <v>0</v>
      </c>
      <c r="AM81" s="18">
        <f t="shared" si="23"/>
        <v>0</v>
      </c>
      <c r="AN81" s="20">
        <f t="shared" si="24"/>
        <v>0</v>
      </c>
    </row>
    <row r="82" spans="10:40" ht="13.5" customHeight="1">
      <c r="J82" s="17">
        <v>30</v>
      </c>
      <c r="K82" s="73">
        <f>'NACA 4-Disit'!K50-'基本設計'!$N$49</f>
        <v>0.5490971040508605</v>
      </c>
      <c r="L82" s="74">
        <f>'NACA 4-Disit'!L50+0.0000001</f>
        <v>-0.015425694517279364</v>
      </c>
      <c r="M82" s="18">
        <f t="shared" si="1"/>
        <v>17.626017040032625</v>
      </c>
      <c r="N82" s="19">
        <f t="shared" si="25"/>
        <v>-0.4951647940046676</v>
      </c>
      <c r="O82" s="18">
        <f t="shared" si="26"/>
        <v>17.836213903817637</v>
      </c>
      <c r="P82" s="19">
        <f t="shared" si="25"/>
        <v>-0.4704836827770206</v>
      </c>
      <c r="Q82" s="18">
        <f t="shared" si="26"/>
        <v>18.04641075399325</v>
      </c>
      <c r="R82" s="19">
        <f t="shared" si="2"/>
        <v>-0.4458025715493736</v>
      </c>
      <c r="S82" s="18">
        <f t="shared" si="3"/>
        <v>18.256607604168863</v>
      </c>
      <c r="T82" s="19">
        <f t="shared" si="4"/>
        <v>-0.42112146032172665</v>
      </c>
      <c r="U82" s="18">
        <f t="shared" si="5"/>
        <v>18.466804454344473</v>
      </c>
      <c r="V82" s="19">
        <f t="shared" si="6"/>
        <v>-0.39644034909407966</v>
      </c>
      <c r="W82" s="18">
        <f t="shared" si="7"/>
        <v>18.677001304520083</v>
      </c>
      <c r="X82" s="19">
        <f t="shared" si="8"/>
        <v>-0.37175923786643267</v>
      </c>
      <c r="Y82" s="18">
        <f t="shared" si="9"/>
        <v>18.887198154695696</v>
      </c>
      <c r="Z82" s="19">
        <f t="shared" si="10"/>
        <v>-0.3470781266387857</v>
      </c>
      <c r="AA82" s="18">
        <f t="shared" si="11"/>
        <v>19.097395004871306</v>
      </c>
      <c r="AB82" s="19">
        <f t="shared" si="12"/>
        <v>-0.3223970154111387</v>
      </c>
      <c r="AC82" s="18">
        <f t="shared" si="13"/>
        <v>0</v>
      </c>
      <c r="AD82" s="19">
        <f t="shared" si="14"/>
        <v>0</v>
      </c>
      <c r="AE82" s="18">
        <f t="shared" si="15"/>
        <v>0</v>
      </c>
      <c r="AF82" s="19">
        <f t="shared" si="16"/>
        <v>0</v>
      </c>
      <c r="AG82" s="18">
        <f t="shared" si="17"/>
        <v>0</v>
      </c>
      <c r="AH82" s="19">
        <f t="shared" si="18"/>
        <v>0</v>
      </c>
      <c r="AI82" s="18">
        <f t="shared" si="19"/>
        <v>0</v>
      </c>
      <c r="AJ82" s="19">
        <f t="shared" si="20"/>
        <v>0</v>
      </c>
      <c r="AK82" s="18">
        <f t="shared" si="21"/>
        <v>0</v>
      </c>
      <c r="AL82" s="19">
        <f t="shared" si="22"/>
        <v>0</v>
      </c>
      <c r="AM82" s="18">
        <f t="shared" si="23"/>
        <v>0</v>
      </c>
      <c r="AN82" s="20">
        <f t="shared" si="24"/>
        <v>0</v>
      </c>
    </row>
    <row r="83" spans="10:40" ht="13.5" customHeight="1">
      <c r="J83" s="17">
        <v>31</v>
      </c>
      <c r="K83" s="73">
        <f>'NACA 4-Disit'!K49-'基本設計'!$N$49</f>
        <v>0.49893482361873687</v>
      </c>
      <c r="L83" s="74">
        <f>'NACA 4-Disit'!L49+0.0000001</f>
        <v>-0.019651936833686334</v>
      </c>
      <c r="M83" s="18">
        <f t="shared" si="1"/>
        <v>16.015807838161454</v>
      </c>
      <c r="N83" s="19">
        <f t="shared" si="25"/>
        <v>-0.6308271723613313</v>
      </c>
      <c r="O83" s="18">
        <f t="shared" si="26"/>
        <v>16.306264350637864</v>
      </c>
      <c r="P83" s="19">
        <f t="shared" si="25"/>
        <v>-0.5993840734274332</v>
      </c>
      <c r="Q83" s="18">
        <f t="shared" si="26"/>
        <v>16.596720849504873</v>
      </c>
      <c r="R83" s="19">
        <f t="shared" si="2"/>
        <v>-0.567940974493535</v>
      </c>
      <c r="S83" s="18">
        <f t="shared" si="3"/>
        <v>16.887177348371885</v>
      </c>
      <c r="T83" s="19">
        <f t="shared" si="4"/>
        <v>-0.5364978755596369</v>
      </c>
      <c r="U83" s="18">
        <f t="shared" si="5"/>
        <v>17.177633847238894</v>
      </c>
      <c r="V83" s="19">
        <f t="shared" si="6"/>
        <v>-0.5050547766257387</v>
      </c>
      <c r="W83" s="18">
        <f t="shared" si="7"/>
        <v>17.468090346105903</v>
      </c>
      <c r="X83" s="19">
        <f t="shared" si="8"/>
        <v>-0.47361167769184065</v>
      </c>
      <c r="Y83" s="18">
        <f t="shared" si="9"/>
        <v>17.758546844972912</v>
      </c>
      <c r="Z83" s="19">
        <f t="shared" si="10"/>
        <v>-0.4421685787579425</v>
      </c>
      <c r="AA83" s="18">
        <f t="shared" si="11"/>
        <v>18.04900334383992</v>
      </c>
      <c r="AB83" s="19">
        <f t="shared" si="12"/>
        <v>-0.41072547982404434</v>
      </c>
      <c r="AC83" s="18">
        <f t="shared" si="13"/>
        <v>0</v>
      </c>
      <c r="AD83" s="19">
        <f t="shared" si="14"/>
        <v>0</v>
      </c>
      <c r="AE83" s="18">
        <f t="shared" si="15"/>
        <v>0</v>
      </c>
      <c r="AF83" s="19">
        <f t="shared" si="16"/>
        <v>0</v>
      </c>
      <c r="AG83" s="18">
        <f t="shared" si="17"/>
        <v>0</v>
      </c>
      <c r="AH83" s="19">
        <f t="shared" si="18"/>
        <v>0</v>
      </c>
      <c r="AI83" s="18">
        <f t="shared" si="19"/>
        <v>0</v>
      </c>
      <c r="AJ83" s="19">
        <f t="shared" si="20"/>
        <v>0</v>
      </c>
      <c r="AK83" s="18">
        <f t="shared" si="21"/>
        <v>0</v>
      </c>
      <c r="AL83" s="19">
        <f t="shared" si="22"/>
        <v>0</v>
      </c>
      <c r="AM83" s="18">
        <f t="shared" si="23"/>
        <v>0</v>
      </c>
      <c r="AN83" s="20">
        <f t="shared" si="24"/>
        <v>0</v>
      </c>
    </row>
    <row r="84" spans="10:40" ht="13.5" customHeight="1">
      <c r="J84" s="17">
        <v>32</v>
      </c>
      <c r="K84" s="73">
        <f>'NACA 4-Disit'!K48-'基本設計'!$N$49</f>
        <v>0.4488235260704163</v>
      </c>
      <c r="L84" s="74">
        <f>'NACA 4-Disit'!L48+0.0000001</f>
        <v>-0.023674812042435347</v>
      </c>
      <c r="M84" s="18">
        <f t="shared" si="1"/>
        <v>14.407235186860364</v>
      </c>
      <c r="N84" s="19">
        <f t="shared" si="25"/>
        <v>-0.7599614665621747</v>
      </c>
      <c r="O84" s="18">
        <f t="shared" si="26"/>
        <v>14.777869775414088</v>
      </c>
      <c r="P84" s="19">
        <f t="shared" si="25"/>
        <v>-0.7220817672942781</v>
      </c>
      <c r="Q84" s="18">
        <f t="shared" si="26"/>
        <v>15.14850435035841</v>
      </c>
      <c r="R84" s="19">
        <f t="shared" si="2"/>
        <v>-0.6842020680263815</v>
      </c>
      <c r="S84" s="18">
        <f t="shared" si="3"/>
        <v>15.519138925302734</v>
      </c>
      <c r="T84" s="19">
        <f t="shared" si="4"/>
        <v>-0.646322368758485</v>
      </c>
      <c r="U84" s="18">
        <f t="shared" si="5"/>
        <v>15.889773500247056</v>
      </c>
      <c r="V84" s="19">
        <f t="shared" si="6"/>
        <v>-0.6084426694905885</v>
      </c>
      <c r="W84" s="18">
        <f t="shared" si="7"/>
        <v>16.26040807519138</v>
      </c>
      <c r="X84" s="19">
        <f t="shared" si="8"/>
        <v>-0.5705629702226919</v>
      </c>
      <c r="Y84" s="18">
        <f t="shared" si="9"/>
        <v>16.631042650135697</v>
      </c>
      <c r="Z84" s="19">
        <f t="shared" si="10"/>
        <v>-0.5326832709547953</v>
      </c>
      <c r="AA84" s="18">
        <f t="shared" si="11"/>
        <v>17.001677225080023</v>
      </c>
      <c r="AB84" s="19">
        <f t="shared" si="12"/>
        <v>-0.4948035716868987</v>
      </c>
      <c r="AC84" s="18">
        <f t="shared" si="13"/>
        <v>0</v>
      </c>
      <c r="AD84" s="19">
        <f t="shared" si="14"/>
        <v>0</v>
      </c>
      <c r="AE84" s="18">
        <f t="shared" si="15"/>
        <v>0</v>
      </c>
      <c r="AF84" s="19">
        <f t="shared" si="16"/>
        <v>0</v>
      </c>
      <c r="AG84" s="18">
        <f t="shared" si="17"/>
        <v>0</v>
      </c>
      <c r="AH84" s="19">
        <f t="shared" si="18"/>
        <v>0</v>
      </c>
      <c r="AI84" s="18">
        <f t="shared" si="19"/>
        <v>0</v>
      </c>
      <c r="AJ84" s="19">
        <f t="shared" si="20"/>
        <v>0</v>
      </c>
      <c r="AK84" s="18">
        <f t="shared" si="21"/>
        <v>0</v>
      </c>
      <c r="AL84" s="19">
        <f t="shared" si="22"/>
        <v>0</v>
      </c>
      <c r="AM84" s="18">
        <f t="shared" si="23"/>
        <v>0</v>
      </c>
      <c r="AN84" s="20">
        <f t="shared" si="24"/>
        <v>0</v>
      </c>
    </row>
    <row r="85" spans="10:40" ht="13.5" customHeight="1">
      <c r="J85" s="17">
        <v>33</v>
      </c>
      <c r="K85" s="73">
        <f>'NACA 4-Disit'!K47-'基本設計'!$N$49</f>
        <v>0.3987599740348615</v>
      </c>
      <c r="L85" s="74">
        <f>'NACA 4-Disit'!L47+0.0000001</f>
        <v>-0.027490030884428775</v>
      </c>
      <c r="M85" s="18">
        <f aca="true" t="shared" si="27" ref="M85:M104">$K85*M$52</f>
        <v>12.800195166519055</v>
      </c>
      <c r="N85" s="19">
        <f t="shared" si="25"/>
        <v>-0.8824299913901638</v>
      </c>
      <c r="O85" s="18">
        <f t="shared" si="26"/>
        <v>13.250931438329667</v>
      </c>
      <c r="P85" s="19">
        <f t="shared" si="25"/>
        <v>-0.8384459419750776</v>
      </c>
      <c r="Q85" s="18">
        <f t="shared" si="26"/>
        <v>13.701667696530876</v>
      </c>
      <c r="R85" s="19">
        <f aca="true" t="shared" si="28" ref="R85:R104">$L85*Q$52</f>
        <v>-0.7944618925599916</v>
      </c>
      <c r="S85" s="18">
        <f aca="true" t="shared" si="29" ref="S85:S104">$K85*S$52+T$51</f>
        <v>14.152403954732087</v>
      </c>
      <c r="T85" s="19">
        <f aca="true" t="shared" si="30" ref="T85:T104">$L85*S$52</f>
        <v>-0.7504778431449056</v>
      </c>
      <c r="U85" s="18">
        <f aca="true" t="shared" si="31" ref="U85:U104">$K85*U$52+V$51</f>
        <v>14.603140212933297</v>
      </c>
      <c r="V85" s="19">
        <f aca="true" t="shared" si="32" ref="V85:V104">$L85*U$52</f>
        <v>-0.7064937937298195</v>
      </c>
      <c r="W85" s="18">
        <f aca="true" t="shared" si="33" ref="W85:W104">$K85*W$52+X$51</f>
        <v>15.053876471134508</v>
      </c>
      <c r="X85" s="19">
        <f aca="true" t="shared" si="34" ref="X85:X104">$L85*W$52</f>
        <v>-0.6625097443147335</v>
      </c>
      <c r="Y85" s="18">
        <f aca="true" t="shared" si="35" ref="Y85:Y104">$K85*Y$52+Z$51</f>
        <v>15.504612729335717</v>
      </c>
      <c r="Z85" s="19">
        <f aca="true" t="shared" si="36" ref="Z85:Z104">$L85*Y$52</f>
        <v>-0.6185256948996475</v>
      </c>
      <c r="AA85" s="18">
        <f aca="true" t="shared" si="37" ref="AA85:AA104">$K85*AA$52+AB$51</f>
        <v>15.955348987536926</v>
      </c>
      <c r="AB85" s="19">
        <f aca="true" t="shared" si="38" ref="AB85:AB104">$L85*AA$52</f>
        <v>-0.5745416454845613</v>
      </c>
      <c r="AC85" s="18">
        <f aca="true" t="shared" si="39" ref="AC85:AC104">$K85*AC$52+AD$51</f>
        <v>0</v>
      </c>
      <c r="AD85" s="19">
        <f aca="true" t="shared" si="40" ref="AD85:AD104">$L85*AC$52</f>
        <v>0</v>
      </c>
      <c r="AE85" s="18">
        <f aca="true" t="shared" si="41" ref="AE85:AE104">$K85*AE$52+AF$51</f>
        <v>0</v>
      </c>
      <c r="AF85" s="19">
        <f aca="true" t="shared" si="42" ref="AF85:AF104">$L85*AE$52</f>
        <v>0</v>
      </c>
      <c r="AG85" s="18">
        <f aca="true" t="shared" si="43" ref="AG85:AG104">$K85*AG$52+AH$51</f>
        <v>0</v>
      </c>
      <c r="AH85" s="19">
        <f aca="true" t="shared" si="44" ref="AH85:AH104">$L85*AG$52</f>
        <v>0</v>
      </c>
      <c r="AI85" s="18">
        <f aca="true" t="shared" si="45" ref="AI85:AI104">$K85*AI$52+AJ$51</f>
        <v>0</v>
      </c>
      <c r="AJ85" s="19">
        <f aca="true" t="shared" si="46" ref="AJ85:AJ104">$L85*AI$52</f>
        <v>0</v>
      </c>
      <c r="AK85" s="18">
        <f aca="true" t="shared" si="47" ref="AK85:AK104">$K85*AK$52+AL$51</f>
        <v>0</v>
      </c>
      <c r="AL85" s="19">
        <f aca="true" t="shared" si="48" ref="AL85:AL104">$L85*AK$52</f>
        <v>0</v>
      </c>
      <c r="AM85" s="18">
        <f aca="true" t="shared" si="49" ref="AM85:AM104">$K85*AM$52+AN$51</f>
        <v>0</v>
      </c>
      <c r="AN85" s="20">
        <f aca="true" t="shared" si="50" ref="AN85:AN104">$L85*AM$52</f>
        <v>0</v>
      </c>
    </row>
    <row r="86" spans="10:40" ht="13.5" customHeight="1">
      <c r="J86" s="17">
        <v>34</v>
      </c>
      <c r="K86" s="73">
        <f>'NACA 4-Disit'!K46-'基本設計'!$N$49</f>
        <v>0.3487411571192319</v>
      </c>
      <c r="L86" s="74">
        <f>'NACA 4-Disit'!L46+0.0000001</f>
        <v>-0.031083327427311517</v>
      </c>
      <c r="M86" s="18">
        <f t="shared" si="27"/>
        <v>11.194591143527346</v>
      </c>
      <c r="N86" s="19">
        <f t="shared" si="25"/>
        <v>-0.9977748104166997</v>
      </c>
      <c r="O86" s="18">
        <f t="shared" si="26"/>
        <v>11.725357522402964</v>
      </c>
      <c r="P86" s="19">
        <f t="shared" si="25"/>
        <v>-0.9480414865330012</v>
      </c>
      <c r="Q86" s="18">
        <f t="shared" si="26"/>
        <v>12.256123887669181</v>
      </c>
      <c r="R86" s="19">
        <f t="shared" si="28"/>
        <v>-0.8983081626493028</v>
      </c>
      <c r="S86" s="18">
        <f t="shared" si="29"/>
        <v>12.7868902529354</v>
      </c>
      <c r="T86" s="19">
        <f t="shared" si="30"/>
        <v>-0.8485748387656045</v>
      </c>
      <c r="U86" s="18">
        <f t="shared" si="31"/>
        <v>13.317656618201617</v>
      </c>
      <c r="V86" s="19">
        <f t="shared" si="32"/>
        <v>-0.7988415148819059</v>
      </c>
      <c r="W86" s="18">
        <f t="shared" si="33"/>
        <v>13.848422983467835</v>
      </c>
      <c r="X86" s="19">
        <f t="shared" si="34"/>
        <v>-0.7491081909982076</v>
      </c>
      <c r="Y86" s="18">
        <f t="shared" si="35"/>
        <v>14.379189348734052</v>
      </c>
      <c r="Z86" s="19">
        <f t="shared" si="36"/>
        <v>-0.6993748671145091</v>
      </c>
      <c r="AA86" s="18">
        <f t="shared" si="37"/>
        <v>14.909955714000269</v>
      </c>
      <c r="AB86" s="19">
        <f t="shared" si="38"/>
        <v>-0.6496415432308107</v>
      </c>
      <c r="AC86" s="18">
        <f t="shared" si="39"/>
        <v>0</v>
      </c>
      <c r="AD86" s="19">
        <f t="shared" si="40"/>
        <v>0</v>
      </c>
      <c r="AE86" s="18">
        <f t="shared" si="41"/>
        <v>0</v>
      </c>
      <c r="AF86" s="19">
        <f t="shared" si="42"/>
        <v>0</v>
      </c>
      <c r="AG86" s="18">
        <f t="shared" si="43"/>
        <v>0</v>
      </c>
      <c r="AH86" s="19">
        <f t="shared" si="44"/>
        <v>0</v>
      </c>
      <c r="AI86" s="18">
        <f t="shared" si="45"/>
        <v>0</v>
      </c>
      <c r="AJ86" s="19">
        <f t="shared" si="46"/>
        <v>0</v>
      </c>
      <c r="AK86" s="18">
        <f t="shared" si="47"/>
        <v>0</v>
      </c>
      <c r="AL86" s="19">
        <f t="shared" si="48"/>
        <v>0</v>
      </c>
      <c r="AM86" s="18">
        <f t="shared" si="49"/>
        <v>0</v>
      </c>
      <c r="AN86" s="20">
        <f t="shared" si="50"/>
        <v>0</v>
      </c>
    </row>
    <row r="87" spans="10:40" ht="13.5" customHeight="1">
      <c r="J87" s="17">
        <v>35</v>
      </c>
      <c r="K87" s="73">
        <f>'NACA 4-Disit'!K45-'基本設計'!$N$49</f>
        <v>0.2987642610768484</v>
      </c>
      <c r="L87" s="74">
        <f>'NACA 4-Disit'!L45+0.0000001</f>
        <v>-0.034425456926063996</v>
      </c>
      <c r="M87" s="18">
        <f t="shared" si="27"/>
        <v>9.590332780566834</v>
      </c>
      <c r="N87" s="19">
        <f t="shared" si="25"/>
        <v>-1.1050571673266543</v>
      </c>
      <c r="O87" s="18">
        <f t="shared" si="26"/>
        <v>10.201062193110266</v>
      </c>
      <c r="P87" s="19">
        <f t="shared" si="25"/>
        <v>-1.049976436244952</v>
      </c>
      <c r="Q87" s="18">
        <f t="shared" si="26"/>
        <v>10.811791592044298</v>
      </c>
      <c r="R87" s="19">
        <f t="shared" si="28"/>
        <v>-0.9948957051632494</v>
      </c>
      <c r="S87" s="18">
        <f t="shared" si="29"/>
        <v>11.42252099097833</v>
      </c>
      <c r="T87" s="19">
        <f t="shared" si="30"/>
        <v>-0.9398149740815471</v>
      </c>
      <c r="U87" s="18">
        <f t="shared" si="31"/>
        <v>12.033250389912359</v>
      </c>
      <c r="V87" s="19">
        <f t="shared" si="32"/>
        <v>-0.8847342429998447</v>
      </c>
      <c r="W87" s="18">
        <f t="shared" si="33"/>
        <v>12.64397978884639</v>
      </c>
      <c r="X87" s="19">
        <f t="shared" si="34"/>
        <v>-0.8296535119181424</v>
      </c>
      <c r="Y87" s="18">
        <f t="shared" si="35"/>
        <v>13.25470918778042</v>
      </c>
      <c r="Z87" s="19">
        <f t="shared" si="36"/>
        <v>-0.7745727808364399</v>
      </c>
      <c r="AA87" s="18">
        <f t="shared" si="37"/>
        <v>13.865438586714452</v>
      </c>
      <c r="AB87" s="19">
        <f t="shared" si="38"/>
        <v>-0.7194920497547375</v>
      </c>
      <c r="AC87" s="18">
        <f t="shared" si="39"/>
        <v>0</v>
      </c>
      <c r="AD87" s="19">
        <f t="shared" si="40"/>
        <v>0</v>
      </c>
      <c r="AE87" s="18">
        <f t="shared" si="41"/>
        <v>0</v>
      </c>
      <c r="AF87" s="19">
        <f t="shared" si="42"/>
        <v>0</v>
      </c>
      <c r="AG87" s="18">
        <f t="shared" si="43"/>
        <v>0</v>
      </c>
      <c r="AH87" s="19">
        <f t="shared" si="44"/>
        <v>0</v>
      </c>
      <c r="AI87" s="18">
        <f t="shared" si="45"/>
        <v>0</v>
      </c>
      <c r="AJ87" s="19">
        <f t="shared" si="46"/>
        <v>0</v>
      </c>
      <c r="AK87" s="18">
        <f t="shared" si="47"/>
        <v>0</v>
      </c>
      <c r="AL87" s="19">
        <f t="shared" si="48"/>
        <v>0</v>
      </c>
      <c r="AM87" s="18">
        <f t="shared" si="49"/>
        <v>0</v>
      </c>
      <c r="AN87" s="20">
        <f t="shared" si="50"/>
        <v>0</v>
      </c>
    </row>
    <row r="88" spans="10:40" ht="13.5" customHeight="1">
      <c r="J88" s="17">
        <v>36</v>
      </c>
      <c r="K88" s="73">
        <f>'NACA 4-Disit'!K44-'基本設計'!$N$49</f>
        <v>0.24882647759190069</v>
      </c>
      <c r="L88" s="74">
        <f>'NACA 4-Disit'!L44+0.0000001</f>
        <v>-0.03747019222739835</v>
      </c>
      <c r="M88" s="18">
        <f t="shared" si="27"/>
        <v>7.987329930700012</v>
      </c>
      <c r="N88" s="19">
        <f t="shared" si="25"/>
        <v>-1.202793170499487</v>
      </c>
      <c r="O88" s="18">
        <f t="shared" si="26"/>
        <v>8.677959796819362</v>
      </c>
      <c r="P88" s="19">
        <f t="shared" si="25"/>
        <v>-1.1428408629356497</v>
      </c>
      <c r="Q88" s="18">
        <f t="shared" si="26"/>
        <v>9.368589649329309</v>
      </c>
      <c r="R88" s="19">
        <f t="shared" si="28"/>
        <v>-1.0828885553718122</v>
      </c>
      <c r="S88" s="18">
        <f t="shared" si="29"/>
        <v>10.059219501839257</v>
      </c>
      <c r="T88" s="19">
        <f t="shared" si="30"/>
        <v>-1.0229362478079749</v>
      </c>
      <c r="U88" s="18">
        <f t="shared" si="31"/>
        <v>10.749849354349204</v>
      </c>
      <c r="V88" s="19">
        <f t="shared" si="32"/>
        <v>-0.9629839402441376</v>
      </c>
      <c r="W88" s="18">
        <f t="shared" si="33"/>
        <v>11.440479206859152</v>
      </c>
      <c r="X88" s="19">
        <f t="shared" si="34"/>
        <v>-0.9030316326803003</v>
      </c>
      <c r="Y88" s="18">
        <f t="shared" si="35"/>
        <v>12.131109059369098</v>
      </c>
      <c r="Z88" s="19">
        <f t="shared" si="36"/>
        <v>-0.8430793251164629</v>
      </c>
      <c r="AA88" s="18">
        <f t="shared" si="37"/>
        <v>12.821738911879045</v>
      </c>
      <c r="AB88" s="19">
        <f t="shared" si="38"/>
        <v>-0.7831270175526255</v>
      </c>
      <c r="AC88" s="18">
        <f t="shared" si="39"/>
        <v>0</v>
      </c>
      <c r="AD88" s="19">
        <f t="shared" si="40"/>
        <v>0</v>
      </c>
      <c r="AE88" s="18">
        <f t="shared" si="41"/>
        <v>0</v>
      </c>
      <c r="AF88" s="19">
        <f t="shared" si="42"/>
        <v>0</v>
      </c>
      <c r="AG88" s="18">
        <f t="shared" si="43"/>
        <v>0</v>
      </c>
      <c r="AH88" s="19">
        <f t="shared" si="44"/>
        <v>0</v>
      </c>
      <c r="AI88" s="18">
        <f t="shared" si="45"/>
        <v>0</v>
      </c>
      <c r="AJ88" s="19">
        <f t="shared" si="46"/>
        <v>0</v>
      </c>
      <c r="AK88" s="18">
        <f t="shared" si="47"/>
        <v>0</v>
      </c>
      <c r="AL88" s="19">
        <f t="shared" si="48"/>
        <v>0</v>
      </c>
      <c r="AM88" s="18">
        <f t="shared" si="49"/>
        <v>0</v>
      </c>
      <c r="AN88" s="20">
        <f t="shared" si="50"/>
        <v>0</v>
      </c>
    </row>
    <row r="89" spans="10:40" ht="13.5" customHeight="1">
      <c r="J89" s="17">
        <v>37</v>
      </c>
      <c r="K89" s="73">
        <f>'NACA 4-Disit'!K43-'基本設計'!$N$49</f>
        <v>0.19892466398972097</v>
      </c>
      <c r="L89" s="74">
        <f>'NACA 4-Disit'!L43+0.0000001</f>
        <v>-0.040158320548215096</v>
      </c>
      <c r="M89" s="18">
        <f t="shared" si="27"/>
        <v>6.3854817140700435</v>
      </c>
      <c r="N89" s="19">
        <f t="shared" si="25"/>
        <v>-1.2890820895977047</v>
      </c>
      <c r="O89" s="18">
        <f t="shared" si="26"/>
        <v>7.155954481952881</v>
      </c>
      <c r="P89" s="19">
        <f t="shared" si="25"/>
        <v>-1.2248287767205603</v>
      </c>
      <c r="Q89" s="18">
        <f t="shared" si="26"/>
        <v>7.926427236226315</v>
      </c>
      <c r="R89" s="19">
        <f t="shared" si="28"/>
        <v>-1.1605754638434163</v>
      </c>
      <c r="S89" s="18">
        <f t="shared" si="29"/>
        <v>8.696899990499752</v>
      </c>
      <c r="T89" s="19">
        <f t="shared" si="30"/>
        <v>-1.0963221509662722</v>
      </c>
      <c r="U89" s="18">
        <f t="shared" si="31"/>
        <v>9.467372744773185</v>
      </c>
      <c r="V89" s="19">
        <f t="shared" si="32"/>
        <v>-1.0320688380891279</v>
      </c>
      <c r="W89" s="18">
        <f t="shared" si="33"/>
        <v>10.237845499046621</v>
      </c>
      <c r="X89" s="19">
        <f t="shared" si="34"/>
        <v>-0.9678155252119839</v>
      </c>
      <c r="Y89" s="18">
        <f t="shared" si="35"/>
        <v>11.008318253320054</v>
      </c>
      <c r="Z89" s="19">
        <f t="shared" si="36"/>
        <v>-0.9035622123348397</v>
      </c>
      <c r="AA89" s="18">
        <f t="shared" si="37"/>
        <v>11.77879100759349</v>
      </c>
      <c r="AB89" s="19">
        <f t="shared" si="38"/>
        <v>-0.8393088994576955</v>
      </c>
      <c r="AC89" s="18">
        <f t="shared" si="39"/>
        <v>0</v>
      </c>
      <c r="AD89" s="19">
        <f t="shared" si="40"/>
        <v>0</v>
      </c>
      <c r="AE89" s="18">
        <f t="shared" si="41"/>
        <v>0</v>
      </c>
      <c r="AF89" s="19">
        <f t="shared" si="42"/>
        <v>0</v>
      </c>
      <c r="AG89" s="18">
        <f t="shared" si="43"/>
        <v>0</v>
      </c>
      <c r="AH89" s="19">
        <f t="shared" si="44"/>
        <v>0</v>
      </c>
      <c r="AI89" s="18">
        <f t="shared" si="45"/>
        <v>0</v>
      </c>
      <c r="AJ89" s="19">
        <f t="shared" si="46"/>
        <v>0</v>
      </c>
      <c r="AK89" s="18">
        <f t="shared" si="47"/>
        <v>0</v>
      </c>
      <c r="AL89" s="19">
        <f t="shared" si="48"/>
        <v>0</v>
      </c>
      <c r="AM89" s="18">
        <f t="shared" si="49"/>
        <v>0</v>
      </c>
      <c r="AN89" s="20">
        <f t="shared" si="50"/>
        <v>0</v>
      </c>
    </row>
    <row r="90" spans="10:40" ht="13.5" customHeight="1">
      <c r="J90" s="17">
        <v>38</v>
      </c>
      <c r="K90" s="73">
        <f>'NACA 4-Disit'!K42-'基本設計'!$N$49</f>
        <v>0.14905529655100125</v>
      </c>
      <c r="L90" s="74">
        <f>'NACA 4-Disit'!L42+0.0000001</f>
        <v>-0.04240764573592175</v>
      </c>
      <c r="M90" s="18">
        <f t="shared" si="27"/>
        <v>4.78467501928714</v>
      </c>
      <c r="N90" s="19">
        <f t="shared" si="25"/>
        <v>-1.3612854281230882</v>
      </c>
      <c r="O90" s="18">
        <f t="shared" si="26"/>
        <v>5.634938775071929</v>
      </c>
      <c r="P90" s="19">
        <f t="shared" si="25"/>
        <v>-1.2934331949456133</v>
      </c>
      <c r="Q90" s="18">
        <f t="shared" si="26"/>
        <v>6.485202517247316</v>
      </c>
      <c r="R90" s="19">
        <f t="shared" si="28"/>
        <v>-1.2255809617681384</v>
      </c>
      <c r="S90" s="18">
        <f t="shared" si="29"/>
        <v>7.335466259422702</v>
      </c>
      <c r="T90" s="19">
        <f t="shared" si="30"/>
        <v>-1.1577287285906637</v>
      </c>
      <c r="U90" s="18">
        <f t="shared" si="31"/>
        <v>8.185730001598088</v>
      </c>
      <c r="V90" s="19">
        <f t="shared" si="32"/>
        <v>-1.089876495413189</v>
      </c>
      <c r="W90" s="18">
        <f t="shared" si="33"/>
        <v>9.035993743773474</v>
      </c>
      <c r="X90" s="19">
        <f t="shared" si="34"/>
        <v>-1.022024262235714</v>
      </c>
      <c r="Y90" s="18">
        <f t="shared" si="35"/>
        <v>9.88625748594886</v>
      </c>
      <c r="Z90" s="19">
        <f t="shared" si="36"/>
        <v>-0.9541720290582393</v>
      </c>
      <c r="AA90" s="18">
        <f t="shared" si="37"/>
        <v>10.736521228124246</v>
      </c>
      <c r="AB90" s="19">
        <f t="shared" si="38"/>
        <v>-0.8863197958807645</v>
      </c>
      <c r="AC90" s="18">
        <f t="shared" si="39"/>
        <v>0</v>
      </c>
      <c r="AD90" s="19">
        <f t="shared" si="40"/>
        <v>0</v>
      </c>
      <c r="AE90" s="18">
        <f t="shared" si="41"/>
        <v>0</v>
      </c>
      <c r="AF90" s="19">
        <f t="shared" si="42"/>
        <v>0</v>
      </c>
      <c r="AG90" s="18">
        <f t="shared" si="43"/>
        <v>0</v>
      </c>
      <c r="AH90" s="19">
        <f t="shared" si="44"/>
        <v>0</v>
      </c>
      <c r="AI90" s="18">
        <f t="shared" si="45"/>
        <v>0</v>
      </c>
      <c r="AJ90" s="19">
        <f t="shared" si="46"/>
        <v>0</v>
      </c>
      <c r="AK90" s="18">
        <f t="shared" si="47"/>
        <v>0</v>
      </c>
      <c r="AL90" s="19">
        <f t="shared" si="48"/>
        <v>0</v>
      </c>
      <c r="AM90" s="18">
        <f t="shared" si="49"/>
        <v>0</v>
      </c>
      <c r="AN90" s="20">
        <f t="shared" si="50"/>
        <v>0</v>
      </c>
    </row>
    <row r="91" spans="10:40" ht="13.5" customHeight="1">
      <c r="J91" s="17">
        <v>39</v>
      </c>
      <c r="K91" s="73">
        <f>'NACA 4-Disit'!K41-'基本設計'!$N$49</f>
        <v>0.099214098888314</v>
      </c>
      <c r="L91" s="74">
        <f>'NACA 4-Disit'!L41+0.0000001</f>
        <v>-0.04411398893488295</v>
      </c>
      <c r="M91" s="18">
        <f t="shared" si="27"/>
        <v>3.18477257431488</v>
      </c>
      <c r="N91" s="19">
        <f t="shared" si="25"/>
        <v>-1.4160590448097428</v>
      </c>
      <c r="O91" s="18">
        <f t="shared" si="26"/>
        <v>4.114782246359968</v>
      </c>
      <c r="P91" s="19">
        <f t="shared" si="25"/>
        <v>-1.3454766625139298</v>
      </c>
      <c r="Q91" s="18">
        <f t="shared" si="26"/>
        <v>5.0447919047956535</v>
      </c>
      <c r="R91" s="19">
        <f t="shared" si="28"/>
        <v>-1.2748942802181171</v>
      </c>
      <c r="S91" s="18">
        <f t="shared" si="29"/>
        <v>5.97480156323134</v>
      </c>
      <c r="T91" s="19">
        <f t="shared" si="30"/>
        <v>-1.2043118979223044</v>
      </c>
      <c r="U91" s="18">
        <f t="shared" si="31"/>
        <v>6.904811221667026</v>
      </c>
      <c r="V91" s="19">
        <f t="shared" si="32"/>
        <v>-1.1337295156264917</v>
      </c>
      <c r="W91" s="18">
        <f t="shared" si="33"/>
        <v>7.834820880102712</v>
      </c>
      <c r="X91" s="19">
        <f t="shared" si="34"/>
        <v>-1.0631471333306792</v>
      </c>
      <c r="Y91" s="18">
        <f t="shared" si="35"/>
        <v>8.764830538538398</v>
      </c>
      <c r="Z91" s="19">
        <f t="shared" si="36"/>
        <v>-0.9925647510348663</v>
      </c>
      <c r="AA91" s="18">
        <f t="shared" si="37"/>
        <v>9.694840196974084</v>
      </c>
      <c r="AB91" s="19">
        <f t="shared" si="38"/>
        <v>-0.9219823687390536</v>
      </c>
      <c r="AC91" s="18">
        <f t="shared" si="39"/>
        <v>0</v>
      </c>
      <c r="AD91" s="19">
        <f t="shared" si="40"/>
        <v>0</v>
      </c>
      <c r="AE91" s="18">
        <f t="shared" si="41"/>
        <v>0</v>
      </c>
      <c r="AF91" s="19">
        <f t="shared" si="42"/>
        <v>0</v>
      </c>
      <c r="AG91" s="18">
        <f t="shared" si="43"/>
        <v>0</v>
      </c>
      <c r="AH91" s="19">
        <f t="shared" si="44"/>
        <v>0</v>
      </c>
      <c r="AI91" s="18">
        <f t="shared" si="45"/>
        <v>0</v>
      </c>
      <c r="AJ91" s="19">
        <f t="shared" si="46"/>
        <v>0</v>
      </c>
      <c r="AK91" s="18">
        <f t="shared" si="47"/>
        <v>0</v>
      </c>
      <c r="AL91" s="19">
        <f t="shared" si="48"/>
        <v>0</v>
      </c>
      <c r="AM91" s="18">
        <f t="shared" si="49"/>
        <v>0</v>
      </c>
      <c r="AN91" s="20">
        <f t="shared" si="50"/>
        <v>0</v>
      </c>
    </row>
    <row r="92" spans="10:40" ht="13.5" customHeight="1">
      <c r="J92" s="17">
        <v>40</v>
      </c>
      <c r="K92" s="73">
        <f>'NACA 4-Disit'!K40-'基本設計'!$N$49</f>
        <v>0.04939574529918378</v>
      </c>
      <c r="L92" s="74">
        <f>'NACA 4-Disit'!L40+0.0000001</f>
        <v>-0.04514619308706321</v>
      </c>
      <c r="M92" s="18">
        <f t="shared" si="27"/>
        <v>1.5856034241037995</v>
      </c>
      <c r="N92" s="19">
        <f t="shared" si="25"/>
        <v>-1.4491927980947292</v>
      </c>
      <c r="O92" s="18">
        <f t="shared" si="26"/>
        <v>2.595322461891496</v>
      </c>
      <c r="P92" s="19">
        <f t="shared" si="25"/>
        <v>-1.3769588891554279</v>
      </c>
      <c r="Q92" s="18">
        <f t="shared" si="26"/>
        <v>3.6050414860697906</v>
      </c>
      <c r="R92" s="19">
        <f t="shared" si="28"/>
        <v>-1.3047249802161267</v>
      </c>
      <c r="S92" s="18">
        <f t="shared" si="29"/>
        <v>4.614760510248085</v>
      </c>
      <c r="T92" s="19">
        <f t="shared" si="30"/>
        <v>-1.2324910712768258</v>
      </c>
      <c r="U92" s="18">
        <f t="shared" si="31"/>
        <v>5.624479534426379</v>
      </c>
      <c r="V92" s="19">
        <f t="shared" si="32"/>
        <v>-1.1602571623375244</v>
      </c>
      <c r="W92" s="18">
        <f t="shared" si="33"/>
        <v>6.634198558604673</v>
      </c>
      <c r="X92" s="19">
        <f t="shared" si="34"/>
        <v>-1.0880232533982235</v>
      </c>
      <c r="Y92" s="18">
        <f t="shared" si="35"/>
        <v>7.643917582782967</v>
      </c>
      <c r="Z92" s="19">
        <f t="shared" si="36"/>
        <v>-1.0157893444589223</v>
      </c>
      <c r="AA92" s="18">
        <f t="shared" si="37"/>
        <v>8.653636606961262</v>
      </c>
      <c r="AB92" s="19">
        <f t="shared" si="38"/>
        <v>-0.9435554355196211</v>
      </c>
      <c r="AC92" s="18">
        <f t="shared" si="39"/>
        <v>0</v>
      </c>
      <c r="AD92" s="19">
        <f t="shared" si="40"/>
        <v>0</v>
      </c>
      <c r="AE92" s="18">
        <f t="shared" si="41"/>
        <v>0</v>
      </c>
      <c r="AF92" s="19">
        <f t="shared" si="42"/>
        <v>0</v>
      </c>
      <c r="AG92" s="18">
        <f t="shared" si="43"/>
        <v>0</v>
      </c>
      <c r="AH92" s="19">
        <f t="shared" si="44"/>
        <v>0</v>
      </c>
      <c r="AI92" s="18">
        <f t="shared" si="45"/>
        <v>0</v>
      </c>
      <c r="AJ92" s="19">
        <f t="shared" si="46"/>
        <v>0</v>
      </c>
      <c r="AK92" s="18">
        <f t="shared" si="47"/>
        <v>0</v>
      </c>
      <c r="AL92" s="19">
        <f t="shared" si="48"/>
        <v>0</v>
      </c>
      <c r="AM92" s="18">
        <f t="shared" si="49"/>
        <v>0</v>
      </c>
      <c r="AN92" s="20">
        <f t="shared" si="50"/>
        <v>0</v>
      </c>
    </row>
    <row r="93" spans="10:40" ht="13.5" customHeight="1">
      <c r="J93" s="21">
        <v>41</v>
      </c>
      <c r="K93" s="73">
        <f>'NACA 4-Disit'!K39-'基本設計'!$N$49</f>
        <v>-0.0004064795629766804</v>
      </c>
      <c r="L93" s="74">
        <f>'NACA 4-Disit'!L39+0.0000001</f>
        <v>-0.04533313007626717</v>
      </c>
      <c r="M93" s="22">
        <f t="shared" si="27"/>
        <v>-0.013047993971551443</v>
      </c>
      <c r="N93" s="23">
        <f t="shared" si="25"/>
        <v>-1.4551934754481763</v>
      </c>
      <c r="O93" s="22">
        <f t="shared" si="26"/>
        <v>1.0763546035956022</v>
      </c>
      <c r="P93" s="23">
        <f t="shared" si="25"/>
        <v>-1.3826604673261487</v>
      </c>
      <c r="Q93" s="22">
        <f t="shared" si="26"/>
        <v>2.1657571875533534</v>
      </c>
      <c r="R93" s="23">
        <f t="shared" si="28"/>
        <v>-1.3101274592041212</v>
      </c>
      <c r="S93" s="22">
        <f t="shared" si="29"/>
        <v>3.2551597715111042</v>
      </c>
      <c r="T93" s="23">
        <f t="shared" si="30"/>
        <v>-1.2375944510820938</v>
      </c>
      <c r="U93" s="22">
        <f t="shared" si="31"/>
        <v>4.344562355468855</v>
      </c>
      <c r="V93" s="23">
        <f t="shared" si="32"/>
        <v>-1.1650614429600663</v>
      </c>
      <c r="W93" s="22">
        <f t="shared" si="33"/>
        <v>5.433964939426606</v>
      </c>
      <c r="X93" s="23">
        <f t="shared" si="34"/>
        <v>-1.0925284348380389</v>
      </c>
      <c r="Y93" s="22">
        <f t="shared" si="35"/>
        <v>6.523367523384357</v>
      </c>
      <c r="Z93" s="23">
        <f t="shared" si="36"/>
        <v>-1.0199954267160114</v>
      </c>
      <c r="AA93" s="22">
        <f t="shared" si="37"/>
        <v>7.612770107342109</v>
      </c>
      <c r="AB93" s="23">
        <f t="shared" si="38"/>
        <v>-0.9474624185939838</v>
      </c>
      <c r="AC93" s="22">
        <f t="shared" si="39"/>
        <v>0</v>
      </c>
      <c r="AD93" s="23">
        <f t="shared" si="40"/>
        <v>0</v>
      </c>
      <c r="AE93" s="22">
        <f t="shared" si="41"/>
        <v>0</v>
      </c>
      <c r="AF93" s="23">
        <f t="shared" si="42"/>
        <v>0</v>
      </c>
      <c r="AG93" s="22">
        <f t="shared" si="43"/>
        <v>0</v>
      </c>
      <c r="AH93" s="23">
        <f t="shared" si="44"/>
        <v>0</v>
      </c>
      <c r="AI93" s="22">
        <f t="shared" si="45"/>
        <v>0</v>
      </c>
      <c r="AJ93" s="23">
        <f t="shared" si="46"/>
        <v>0</v>
      </c>
      <c r="AK93" s="22">
        <f t="shared" si="47"/>
        <v>0</v>
      </c>
      <c r="AL93" s="23">
        <f t="shared" si="48"/>
        <v>0</v>
      </c>
      <c r="AM93" s="22">
        <f t="shared" si="49"/>
        <v>0</v>
      </c>
      <c r="AN93" s="24">
        <f t="shared" si="50"/>
        <v>0</v>
      </c>
    </row>
    <row r="94" spans="10:40" ht="13.5" customHeight="1">
      <c r="J94" s="17">
        <v>42</v>
      </c>
      <c r="K94" s="73">
        <f>'NACA 4-Disit'!K38-'基本設計'!$N$49</f>
        <v>-0.05020124276785998</v>
      </c>
      <c r="L94" s="74">
        <f>'NACA 4-Disit'!L38+0.0000001</f>
        <v>-0.04444371071519253</v>
      </c>
      <c r="M94" s="18">
        <f t="shared" si="27"/>
        <v>-1.6114598928483053</v>
      </c>
      <c r="N94" s="19">
        <f t="shared" si="25"/>
        <v>-1.4266431139576803</v>
      </c>
      <c r="O94" s="18">
        <f t="shared" si="26"/>
        <v>-0.4423856741533383</v>
      </c>
      <c r="P94" s="19">
        <f t="shared" si="25"/>
        <v>-1.355533176813372</v>
      </c>
      <c r="Q94" s="18">
        <f t="shared" si="26"/>
        <v>0.7266885309322262</v>
      </c>
      <c r="R94" s="19">
        <f t="shared" si="28"/>
        <v>-1.284423239669064</v>
      </c>
      <c r="S94" s="18">
        <f t="shared" si="29"/>
        <v>1.8957627360177904</v>
      </c>
      <c r="T94" s="19">
        <f t="shared" si="30"/>
        <v>-1.213313302524756</v>
      </c>
      <c r="U94" s="18">
        <f t="shared" si="31"/>
        <v>3.064836941103354</v>
      </c>
      <c r="V94" s="19">
        <f t="shared" si="32"/>
        <v>-1.142203365380448</v>
      </c>
      <c r="W94" s="18">
        <f t="shared" si="33"/>
        <v>4.233911146188919</v>
      </c>
      <c r="X94" s="19">
        <f t="shared" si="34"/>
        <v>-1.07109342823614</v>
      </c>
      <c r="Y94" s="18">
        <f t="shared" si="35"/>
        <v>5.4029853512744825</v>
      </c>
      <c r="Z94" s="19">
        <f t="shared" si="36"/>
        <v>-0.9999834910918318</v>
      </c>
      <c r="AA94" s="18">
        <f t="shared" si="37"/>
        <v>6.572059556360047</v>
      </c>
      <c r="AB94" s="19">
        <f t="shared" si="38"/>
        <v>-0.9288735539475238</v>
      </c>
      <c r="AC94" s="18">
        <f t="shared" si="39"/>
        <v>0</v>
      </c>
      <c r="AD94" s="19">
        <f t="shared" si="40"/>
        <v>0</v>
      </c>
      <c r="AE94" s="18">
        <f t="shared" si="41"/>
        <v>0</v>
      </c>
      <c r="AF94" s="19">
        <f t="shared" si="42"/>
        <v>0</v>
      </c>
      <c r="AG94" s="18">
        <f t="shared" si="43"/>
        <v>0</v>
      </c>
      <c r="AH94" s="19">
        <f t="shared" si="44"/>
        <v>0</v>
      </c>
      <c r="AI94" s="18">
        <f t="shared" si="45"/>
        <v>0</v>
      </c>
      <c r="AJ94" s="19">
        <f t="shared" si="46"/>
        <v>0</v>
      </c>
      <c r="AK94" s="18">
        <f t="shared" si="47"/>
        <v>0</v>
      </c>
      <c r="AL94" s="19">
        <f t="shared" si="48"/>
        <v>0</v>
      </c>
      <c r="AM94" s="18">
        <f t="shared" si="49"/>
        <v>0</v>
      </c>
      <c r="AN94" s="20">
        <f t="shared" si="50"/>
        <v>0</v>
      </c>
    </row>
    <row r="95" spans="10:40" ht="13.5" customHeight="1">
      <c r="J95" s="17">
        <v>43</v>
      </c>
      <c r="K95" s="73">
        <f>'NACA 4-Disit'!K37-'基本設計'!$N$49</f>
        <v>-0.10000009999999998</v>
      </c>
      <c r="L95" s="74">
        <f>'NACA 4-Disit'!L37+0.0000001</f>
        <v>-0.0421589</v>
      </c>
      <c r="M95" s="18">
        <f t="shared" si="27"/>
        <v>-3.2100032099999996</v>
      </c>
      <c r="N95" s="19">
        <f t="shared" si="25"/>
        <v>-1.35330069</v>
      </c>
      <c r="O95" s="18">
        <f t="shared" si="26"/>
        <v>-1.9612508197336085</v>
      </c>
      <c r="P95" s="19">
        <f t="shared" si="25"/>
        <v>-1.28584645</v>
      </c>
      <c r="Q95" s="18">
        <f t="shared" si="26"/>
        <v>-0.7124984430766199</v>
      </c>
      <c r="R95" s="19">
        <f t="shared" si="28"/>
        <v>-1.21839221</v>
      </c>
      <c r="S95" s="18">
        <f t="shared" si="29"/>
        <v>0.5362539335803684</v>
      </c>
      <c r="T95" s="19">
        <f t="shared" si="30"/>
        <v>-1.15093797</v>
      </c>
      <c r="U95" s="18">
        <f t="shared" si="31"/>
        <v>1.7850063102373563</v>
      </c>
      <c r="V95" s="19">
        <f t="shared" si="32"/>
        <v>-1.08348373</v>
      </c>
      <c r="W95" s="18">
        <f t="shared" si="33"/>
        <v>3.0337586868943447</v>
      </c>
      <c r="X95" s="19">
        <f t="shared" si="34"/>
        <v>-1.01602949</v>
      </c>
      <c r="Y95" s="18">
        <f t="shared" si="35"/>
        <v>4.282511063551333</v>
      </c>
      <c r="Z95" s="19">
        <f t="shared" si="36"/>
        <v>-0.94857525</v>
      </c>
      <c r="AA95" s="18">
        <f t="shared" si="37"/>
        <v>5.531263440208321</v>
      </c>
      <c r="AB95" s="19">
        <f t="shared" si="38"/>
        <v>-0.8811210099999999</v>
      </c>
      <c r="AC95" s="18">
        <f t="shared" si="39"/>
        <v>0</v>
      </c>
      <c r="AD95" s="19">
        <f t="shared" si="40"/>
        <v>0</v>
      </c>
      <c r="AE95" s="18">
        <f t="shared" si="41"/>
        <v>0</v>
      </c>
      <c r="AF95" s="19">
        <f t="shared" si="42"/>
        <v>0</v>
      </c>
      <c r="AG95" s="18">
        <f t="shared" si="43"/>
        <v>0</v>
      </c>
      <c r="AH95" s="19">
        <f t="shared" si="44"/>
        <v>0</v>
      </c>
      <c r="AI95" s="18">
        <f t="shared" si="45"/>
        <v>0</v>
      </c>
      <c r="AJ95" s="19">
        <f t="shared" si="46"/>
        <v>0</v>
      </c>
      <c r="AK95" s="18">
        <f t="shared" si="47"/>
        <v>0</v>
      </c>
      <c r="AL95" s="19">
        <f t="shared" si="48"/>
        <v>0</v>
      </c>
      <c r="AM95" s="18">
        <f t="shared" si="49"/>
        <v>0</v>
      </c>
      <c r="AN95" s="20">
        <f t="shared" si="50"/>
        <v>0</v>
      </c>
    </row>
    <row r="96" spans="10:40" ht="13.5" customHeight="1">
      <c r="J96" s="17">
        <v>44</v>
      </c>
      <c r="K96" s="73">
        <f>'NACA 4-Disit'!K36-'基本設計'!$N$49</f>
        <v>-0.1471083124780131</v>
      </c>
      <c r="L96" s="74">
        <f>'NACA 4-Disit'!L36+0.0000001</f>
        <v>-0.03908565043973823</v>
      </c>
      <c r="M96" s="18">
        <f t="shared" si="27"/>
        <v>-4.72217683054422</v>
      </c>
      <c r="N96" s="19">
        <f t="shared" si="25"/>
        <v>-1.2546493791155973</v>
      </c>
      <c r="O96" s="18">
        <f t="shared" si="26"/>
        <v>-3.398051300313008</v>
      </c>
      <c r="P96" s="19">
        <f t="shared" si="25"/>
        <v>-1.192112338412016</v>
      </c>
      <c r="Q96" s="18">
        <f t="shared" si="26"/>
        <v>-2.0739257836911986</v>
      </c>
      <c r="R96" s="19">
        <f t="shared" si="28"/>
        <v>-1.1295752977084348</v>
      </c>
      <c r="S96" s="18">
        <f t="shared" si="29"/>
        <v>-0.7498002670693893</v>
      </c>
      <c r="T96" s="19">
        <f t="shared" si="30"/>
        <v>-1.0670382570048538</v>
      </c>
      <c r="U96" s="18">
        <f t="shared" si="31"/>
        <v>0.5743252495524191</v>
      </c>
      <c r="V96" s="19">
        <f t="shared" si="32"/>
        <v>-1.0045012163012725</v>
      </c>
      <c r="W96" s="18">
        <f t="shared" si="33"/>
        <v>1.8984507661742285</v>
      </c>
      <c r="X96" s="19">
        <f t="shared" si="34"/>
        <v>-0.9419641755976914</v>
      </c>
      <c r="Y96" s="18">
        <f t="shared" si="35"/>
        <v>3.222576282796038</v>
      </c>
      <c r="Z96" s="19">
        <f t="shared" si="36"/>
        <v>-0.8794271348941102</v>
      </c>
      <c r="AA96" s="18">
        <f t="shared" si="37"/>
        <v>4.546701799417848</v>
      </c>
      <c r="AB96" s="19">
        <f t="shared" si="38"/>
        <v>-0.8168900941905289</v>
      </c>
      <c r="AC96" s="18">
        <f t="shared" si="39"/>
        <v>0</v>
      </c>
      <c r="AD96" s="19">
        <f t="shared" si="40"/>
        <v>0</v>
      </c>
      <c r="AE96" s="18">
        <f t="shared" si="41"/>
        <v>0</v>
      </c>
      <c r="AF96" s="19">
        <f t="shared" si="42"/>
        <v>0</v>
      </c>
      <c r="AG96" s="18">
        <f t="shared" si="43"/>
        <v>0</v>
      </c>
      <c r="AH96" s="19">
        <f t="shared" si="44"/>
        <v>0</v>
      </c>
      <c r="AI96" s="18">
        <f t="shared" si="45"/>
        <v>0</v>
      </c>
      <c r="AJ96" s="19">
        <f t="shared" si="46"/>
        <v>0</v>
      </c>
      <c r="AK96" s="18">
        <f t="shared" si="47"/>
        <v>0</v>
      </c>
      <c r="AL96" s="19">
        <f t="shared" si="48"/>
        <v>0</v>
      </c>
      <c r="AM96" s="18">
        <f t="shared" si="49"/>
        <v>0</v>
      </c>
      <c r="AN96" s="20">
        <f t="shared" si="50"/>
        <v>0</v>
      </c>
    </row>
    <row r="97" spans="10:40" ht="13.5" customHeight="1">
      <c r="J97" s="17">
        <v>45</v>
      </c>
      <c r="K97" s="73">
        <f>'NACA 4-Disit'!K35-'基本設計'!$N$49</f>
        <v>-0.19495207732662667</v>
      </c>
      <c r="L97" s="74">
        <f>'NACA 4-Disit'!L35+0.0000001</f>
        <v>-0.035480126733733165</v>
      </c>
      <c r="M97" s="18">
        <f t="shared" si="27"/>
        <v>-6.257961682184717</v>
      </c>
      <c r="N97" s="19">
        <f t="shared" si="25"/>
        <v>-1.1389120681528346</v>
      </c>
      <c r="O97" s="18">
        <f t="shared" si="26"/>
        <v>-4.857286128195722</v>
      </c>
      <c r="P97" s="19">
        <f t="shared" si="25"/>
        <v>-1.0821438653788615</v>
      </c>
      <c r="Q97" s="18">
        <f t="shared" si="26"/>
        <v>-3.456610587816131</v>
      </c>
      <c r="R97" s="19">
        <f t="shared" si="28"/>
        <v>-1.0253756626048884</v>
      </c>
      <c r="S97" s="18">
        <f t="shared" si="29"/>
        <v>-2.0559350474365408</v>
      </c>
      <c r="T97" s="19">
        <f t="shared" si="30"/>
        <v>-0.9686074598309155</v>
      </c>
      <c r="U97" s="18">
        <f t="shared" si="31"/>
        <v>-0.6552595070569494</v>
      </c>
      <c r="V97" s="19">
        <f t="shared" si="32"/>
        <v>-0.9118392570569424</v>
      </c>
      <c r="W97" s="18">
        <f t="shared" si="33"/>
        <v>0.7454160333226412</v>
      </c>
      <c r="X97" s="19">
        <f t="shared" si="34"/>
        <v>-0.8550710542829694</v>
      </c>
      <c r="Y97" s="18">
        <f t="shared" si="35"/>
        <v>2.1460915737022326</v>
      </c>
      <c r="Z97" s="19">
        <f t="shared" si="36"/>
        <v>-0.7983028515089963</v>
      </c>
      <c r="AA97" s="18">
        <f t="shared" si="37"/>
        <v>3.546767114081824</v>
      </c>
      <c r="AB97" s="19">
        <f t="shared" si="38"/>
        <v>-0.7415346487350231</v>
      </c>
      <c r="AC97" s="18">
        <f t="shared" si="39"/>
        <v>0</v>
      </c>
      <c r="AD97" s="19">
        <f t="shared" si="40"/>
        <v>0</v>
      </c>
      <c r="AE97" s="18">
        <f t="shared" si="41"/>
        <v>0</v>
      </c>
      <c r="AF97" s="19">
        <f t="shared" si="42"/>
        <v>0</v>
      </c>
      <c r="AG97" s="18">
        <f t="shared" si="43"/>
        <v>0</v>
      </c>
      <c r="AH97" s="19">
        <f t="shared" si="44"/>
        <v>0</v>
      </c>
      <c r="AI97" s="18">
        <f t="shared" si="45"/>
        <v>0</v>
      </c>
      <c r="AJ97" s="19">
        <f t="shared" si="46"/>
        <v>0</v>
      </c>
      <c r="AK97" s="18">
        <f t="shared" si="47"/>
        <v>0</v>
      </c>
      <c r="AL97" s="19">
        <f t="shared" si="48"/>
        <v>0</v>
      </c>
      <c r="AM97" s="18">
        <f t="shared" si="49"/>
        <v>0</v>
      </c>
      <c r="AN97" s="20">
        <f t="shared" si="50"/>
        <v>0</v>
      </c>
    </row>
    <row r="98" spans="10:40" ht="13.5" customHeight="1">
      <c r="J98" s="17">
        <v>46</v>
      </c>
      <c r="K98" s="73">
        <f>'NACA 4-Disit'!K34-'基本設計'!$N$49</f>
        <v>-0.219356519576191</v>
      </c>
      <c r="L98" s="74">
        <f>'NACA 4-Disit'!L34+0.0000001</f>
        <v>-0.03296104339047188</v>
      </c>
      <c r="M98" s="18">
        <f t="shared" si="27"/>
        <v>-7.041344278395732</v>
      </c>
      <c r="N98" s="19">
        <f t="shared" si="25"/>
        <v>-1.0580494928341473</v>
      </c>
      <c r="O98" s="18">
        <f t="shared" si="26"/>
        <v>-5.601621616807434</v>
      </c>
      <c r="P98" s="19">
        <f t="shared" si="25"/>
        <v>-1.0053118234093923</v>
      </c>
      <c r="Q98" s="18">
        <f t="shared" si="26"/>
        <v>-4.16189896882854</v>
      </c>
      <c r="R98" s="19">
        <f t="shared" si="28"/>
        <v>-0.9525741539846373</v>
      </c>
      <c r="S98" s="18">
        <f t="shared" si="29"/>
        <v>-2.7221763208496466</v>
      </c>
      <c r="T98" s="19">
        <f t="shared" si="30"/>
        <v>-0.8998364845598823</v>
      </c>
      <c r="U98" s="18">
        <f t="shared" si="31"/>
        <v>-1.2824536728707532</v>
      </c>
      <c r="V98" s="19">
        <f t="shared" si="32"/>
        <v>-0.8470988151351273</v>
      </c>
      <c r="W98" s="18">
        <f t="shared" si="33"/>
        <v>0.15726897510814108</v>
      </c>
      <c r="X98" s="19">
        <f t="shared" si="34"/>
        <v>-0.7943611457103723</v>
      </c>
      <c r="Y98" s="18">
        <f t="shared" si="35"/>
        <v>1.5969916230870345</v>
      </c>
      <c r="Z98" s="19">
        <f t="shared" si="36"/>
        <v>-0.7416234762856173</v>
      </c>
      <c r="AA98" s="18">
        <f t="shared" si="37"/>
        <v>3.0367142710659287</v>
      </c>
      <c r="AB98" s="19">
        <f t="shared" si="38"/>
        <v>-0.6888858068608622</v>
      </c>
      <c r="AC98" s="18">
        <f t="shared" si="39"/>
        <v>0</v>
      </c>
      <c r="AD98" s="19">
        <f t="shared" si="40"/>
        <v>0</v>
      </c>
      <c r="AE98" s="18">
        <f t="shared" si="41"/>
        <v>0</v>
      </c>
      <c r="AF98" s="19">
        <f t="shared" si="42"/>
        <v>0</v>
      </c>
      <c r="AG98" s="18">
        <f t="shared" si="43"/>
        <v>0</v>
      </c>
      <c r="AH98" s="19">
        <f t="shared" si="44"/>
        <v>0</v>
      </c>
      <c r="AI98" s="18">
        <f t="shared" si="45"/>
        <v>0</v>
      </c>
      <c r="AJ98" s="19">
        <f t="shared" si="46"/>
        <v>0</v>
      </c>
      <c r="AK98" s="18">
        <f t="shared" si="47"/>
        <v>0</v>
      </c>
      <c r="AL98" s="19">
        <f t="shared" si="48"/>
        <v>0</v>
      </c>
      <c r="AM98" s="18">
        <f t="shared" si="49"/>
        <v>0</v>
      </c>
      <c r="AN98" s="20">
        <f t="shared" si="50"/>
        <v>0</v>
      </c>
    </row>
    <row r="99" spans="10:40" ht="13.5" customHeight="1">
      <c r="J99" s="17">
        <v>47</v>
      </c>
      <c r="K99" s="73">
        <f>'NACA 4-Disit'!K33-'基本設計'!$N$49</f>
        <v>-0.24428750915765626</v>
      </c>
      <c r="L99" s="74">
        <f>'NACA 4-Disit'!L33+0.0000001</f>
        <v>-0.02933383894895814</v>
      </c>
      <c r="M99" s="18">
        <f t="shared" si="27"/>
        <v>-7.841629043960767</v>
      </c>
      <c r="N99" s="19">
        <f t="shared" si="25"/>
        <v>-0.9416162302615563</v>
      </c>
      <c r="O99" s="18">
        <f t="shared" si="26"/>
        <v>-6.362016799042125</v>
      </c>
      <c r="P99" s="19">
        <f t="shared" si="25"/>
        <v>-0.8946820879432232</v>
      </c>
      <c r="Q99" s="18">
        <f t="shared" si="26"/>
        <v>-4.882404567732886</v>
      </c>
      <c r="R99" s="19">
        <f t="shared" si="28"/>
        <v>-0.8477479456248902</v>
      </c>
      <c r="S99" s="18">
        <f t="shared" si="29"/>
        <v>-3.4027923364236488</v>
      </c>
      <c r="T99" s="19">
        <f t="shared" si="30"/>
        <v>-0.8008138033065572</v>
      </c>
      <c r="U99" s="18">
        <f t="shared" si="31"/>
        <v>-1.92318010511441</v>
      </c>
      <c r="V99" s="19">
        <f t="shared" si="32"/>
        <v>-0.7538796609882241</v>
      </c>
      <c r="W99" s="18">
        <f t="shared" si="33"/>
        <v>-0.44356787380517204</v>
      </c>
      <c r="X99" s="19">
        <f t="shared" si="34"/>
        <v>-0.7069455186698912</v>
      </c>
      <c r="Y99" s="18">
        <f t="shared" si="35"/>
        <v>1.0360443575040668</v>
      </c>
      <c r="Z99" s="19">
        <f t="shared" si="36"/>
        <v>-0.6600113763515582</v>
      </c>
      <c r="AA99" s="18">
        <f t="shared" si="37"/>
        <v>2.5156565888133056</v>
      </c>
      <c r="AB99" s="19">
        <f t="shared" si="38"/>
        <v>-0.613077234033225</v>
      </c>
      <c r="AC99" s="18">
        <f t="shared" si="39"/>
        <v>0</v>
      </c>
      <c r="AD99" s="19">
        <f t="shared" si="40"/>
        <v>0</v>
      </c>
      <c r="AE99" s="18">
        <f t="shared" si="41"/>
        <v>0</v>
      </c>
      <c r="AF99" s="19">
        <f t="shared" si="42"/>
        <v>0</v>
      </c>
      <c r="AG99" s="18">
        <f t="shared" si="43"/>
        <v>0</v>
      </c>
      <c r="AH99" s="19">
        <f t="shared" si="44"/>
        <v>0</v>
      </c>
      <c r="AI99" s="18">
        <f t="shared" si="45"/>
        <v>0</v>
      </c>
      <c r="AJ99" s="19">
        <f t="shared" si="46"/>
        <v>0</v>
      </c>
      <c r="AK99" s="18">
        <f t="shared" si="47"/>
        <v>0</v>
      </c>
      <c r="AL99" s="19">
        <f t="shared" si="48"/>
        <v>0</v>
      </c>
      <c r="AM99" s="18">
        <f t="shared" si="49"/>
        <v>0</v>
      </c>
      <c r="AN99" s="20">
        <f t="shared" si="50"/>
        <v>0</v>
      </c>
    </row>
    <row r="100" spans="10:40" ht="13.5" customHeight="1">
      <c r="J100" s="17">
        <v>48</v>
      </c>
      <c r="K100" s="73">
        <f>'NACA 4-Disit'!K32-'基本設計'!$N$49</f>
        <v>-0.2701170823424541</v>
      </c>
      <c r="L100" s="74">
        <f>'NACA 4-Disit'!L32+0.0000001</f>
        <v>-0.023215358043119635</v>
      </c>
      <c r="M100" s="18">
        <f t="shared" si="27"/>
        <v>-8.670758343192777</v>
      </c>
      <c r="N100" s="19">
        <f t="shared" si="25"/>
        <v>-0.7452129931841404</v>
      </c>
      <c r="O100" s="18">
        <f t="shared" si="26"/>
        <v>-7.149818781178458</v>
      </c>
      <c r="P100" s="19">
        <f t="shared" si="25"/>
        <v>-0.7080684203151488</v>
      </c>
      <c r="Q100" s="18">
        <f t="shared" si="26"/>
        <v>-5.628879232773542</v>
      </c>
      <c r="R100" s="19">
        <f t="shared" si="28"/>
        <v>-0.6709238474461574</v>
      </c>
      <c r="S100" s="18">
        <f t="shared" si="29"/>
        <v>-4.107939684368628</v>
      </c>
      <c r="T100" s="19">
        <f t="shared" si="30"/>
        <v>-0.6337792745771661</v>
      </c>
      <c r="U100" s="18">
        <f t="shared" si="31"/>
        <v>-2.587000135963714</v>
      </c>
      <c r="V100" s="19">
        <f t="shared" si="32"/>
        <v>-0.5966347017081746</v>
      </c>
      <c r="W100" s="18">
        <f t="shared" si="33"/>
        <v>-1.0660605875587992</v>
      </c>
      <c r="X100" s="19">
        <f t="shared" si="34"/>
        <v>-0.5594901288391833</v>
      </c>
      <c r="Y100" s="18">
        <f t="shared" si="35"/>
        <v>0.45487896084611545</v>
      </c>
      <c r="Z100" s="19">
        <f t="shared" si="36"/>
        <v>-0.5223455559701918</v>
      </c>
      <c r="AA100" s="18">
        <f t="shared" si="37"/>
        <v>1.975818509251031</v>
      </c>
      <c r="AB100" s="19">
        <f t="shared" si="38"/>
        <v>-0.48520098310120036</v>
      </c>
      <c r="AC100" s="18">
        <f t="shared" si="39"/>
        <v>0</v>
      </c>
      <c r="AD100" s="19">
        <f t="shared" si="40"/>
        <v>0</v>
      </c>
      <c r="AE100" s="18">
        <f t="shared" si="41"/>
        <v>0</v>
      </c>
      <c r="AF100" s="19">
        <f t="shared" si="42"/>
        <v>0</v>
      </c>
      <c r="AG100" s="18">
        <f t="shared" si="43"/>
        <v>0</v>
      </c>
      <c r="AH100" s="19">
        <f t="shared" si="44"/>
        <v>0</v>
      </c>
      <c r="AI100" s="18">
        <f t="shared" si="45"/>
        <v>0</v>
      </c>
      <c r="AJ100" s="19">
        <f t="shared" si="46"/>
        <v>0</v>
      </c>
      <c r="AK100" s="18">
        <f t="shared" si="47"/>
        <v>0</v>
      </c>
      <c r="AL100" s="19">
        <f t="shared" si="48"/>
        <v>0</v>
      </c>
      <c r="AM100" s="18">
        <f t="shared" si="49"/>
        <v>0</v>
      </c>
      <c r="AN100" s="20">
        <f t="shared" si="50"/>
        <v>0</v>
      </c>
    </row>
    <row r="101" spans="10:40" ht="13.5" customHeight="1">
      <c r="J101" s="17">
        <v>49</v>
      </c>
      <c r="K101" s="73">
        <f>'NACA 4-Disit'!K31-'基本設計'!$N$49</f>
        <v>-0.2837188678378403</v>
      </c>
      <c r="L101" s="74">
        <f>'NACA 4-Disit'!L31+0.0000001</f>
        <v>-0.017744596531518417</v>
      </c>
      <c r="M101" s="18">
        <f t="shared" si="27"/>
        <v>-9.107375657594673</v>
      </c>
      <c r="N101" s="19">
        <f t="shared" si="25"/>
        <v>-0.5696015486617412</v>
      </c>
      <c r="O101" s="18">
        <f t="shared" si="26"/>
        <v>-7.564673238787738</v>
      </c>
      <c r="P101" s="19">
        <f t="shared" si="25"/>
        <v>-0.5412101942113118</v>
      </c>
      <c r="Q101" s="18">
        <f t="shared" si="26"/>
        <v>-6.0219708335902045</v>
      </c>
      <c r="R101" s="19">
        <f t="shared" si="28"/>
        <v>-0.5128188397608823</v>
      </c>
      <c r="S101" s="18">
        <f t="shared" si="29"/>
        <v>-4.479268428392672</v>
      </c>
      <c r="T101" s="19">
        <f t="shared" si="30"/>
        <v>-0.4844274853104528</v>
      </c>
      <c r="U101" s="18">
        <f t="shared" si="31"/>
        <v>-2.936566023195139</v>
      </c>
      <c r="V101" s="19">
        <f t="shared" si="32"/>
        <v>-0.4560361308600233</v>
      </c>
      <c r="W101" s="18">
        <f t="shared" si="33"/>
        <v>-1.3938636179976065</v>
      </c>
      <c r="X101" s="19">
        <f t="shared" si="34"/>
        <v>-0.42764477640959386</v>
      </c>
      <c r="Y101" s="18">
        <f t="shared" si="35"/>
        <v>0.14883878719992616</v>
      </c>
      <c r="Z101" s="19">
        <f t="shared" si="36"/>
        <v>-0.3992534219591644</v>
      </c>
      <c r="AA101" s="18">
        <f t="shared" si="37"/>
        <v>1.6915411923974597</v>
      </c>
      <c r="AB101" s="19">
        <f t="shared" si="38"/>
        <v>-0.3708620675087349</v>
      </c>
      <c r="AC101" s="18">
        <f t="shared" si="39"/>
        <v>0</v>
      </c>
      <c r="AD101" s="19">
        <f t="shared" si="40"/>
        <v>0</v>
      </c>
      <c r="AE101" s="18">
        <f t="shared" si="41"/>
        <v>0</v>
      </c>
      <c r="AF101" s="19">
        <f t="shared" si="42"/>
        <v>0</v>
      </c>
      <c r="AG101" s="18">
        <f t="shared" si="43"/>
        <v>0</v>
      </c>
      <c r="AH101" s="19">
        <f t="shared" si="44"/>
        <v>0</v>
      </c>
      <c r="AI101" s="18">
        <f t="shared" si="45"/>
        <v>0</v>
      </c>
      <c r="AJ101" s="19">
        <f t="shared" si="46"/>
        <v>0</v>
      </c>
      <c r="AK101" s="18">
        <f t="shared" si="47"/>
        <v>0</v>
      </c>
      <c r="AL101" s="19">
        <f t="shared" si="48"/>
        <v>0</v>
      </c>
      <c r="AM101" s="18">
        <f t="shared" si="49"/>
        <v>0</v>
      </c>
      <c r="AN101" s="20">
        <f t="shared" si="50"/>
        <v>0</v>
      </c>
    </row>
    <row r="102" spans="10:40" ht="13.5" customHeight="1">
      <c r="J102" s="17">
        <v>50</v>
      </c>
      <c r="K102" s="73">
        <f>'NACA 4-Disit'!K30-'基本設計'!$N$49</f>
        <v>-0.29094712582932014</v>
      </c>
      <c r="L102" s="74">
        <f>'NACA 4-Disit'!L30+0.0000001</f>
        <v>-0.013236394711573462</v>
      </c>
      <c r="M102" s="18">
        <f t="shared" si="27"/>
        <v>-9.339402739121176</v>
      </c>
      <c r="N102" s="19">
        <f t="shared" si="25"/>
        <v>-0.42488827024150816</v>
      </c>
      <c r="O102" s="18">
        <f t="shared" si="26"/>
        <v>-7.785135107527872</v>
      </c>
      <c r="P102" s="19">
        <f t="shared" si="25"/>
        <v>-0.4037100387029906</v>
      </c>
      <c r="Q102" s="18">
        <f t="shared" si="26"/>
        <v>-6.230867489543973</v>
      </c>
      <c r="R102" s="19">
        <f t="shared" si="28"/>
        <v>-0.38253180716447305</v>
      </c>
      <c r="S102" s="18">
        <f t="shared" si="29"/>
        <v>-4.6765998715600725</v>
      </c>
      <c r="T102" s="19">
        <f t="shared" si="30"/>
        <v>-0.3613535756259555</v>
      </c>
      <c r="U102" s="18">
        <f t="shared" si="31"/>
        <v>-3.1223322535761717</v>
      </c>
      <c r="V102" s="19">
        <f t="shared" si="32"/>
        <v>-0.34017534408743794</v>
      </c>
      <c r="W102" s="18">
        <f t="shared" si="33"/>
        <v>-1.5680646355922718</v>
      </c>
      <c r="X102" s="19">
        <f t="shared" si="34"/>
        <v>-0.31899711254892044</v>
      </c>
      <c r="Y102" s="18">
        <f t="shared" si="35"/>
        <v>-0.013797017608371043</v>
      </c>
      <c r="Z102" s="19">
        <f t="shared" si="36"/>
        <v>-0.2978188810104029</v>
      </c>
      <c r="AA102" s="18">
        <f t="shared" si="37"/>
        <v>1.5404706003755306</v>
      </c>
      <c r="AB102" s="19">
        <f t="shared" si="38"/>
        <v>-0.2766406494718853</v>
      </c>
      <c r="AC102" s="18">
        <f t="shared" si="39"/>
        <v>0</v>
      </c>
      <c r="AD102" s="19">
        <f t="shared" si="40"/>
        <v>0</v>
      </c>
      <c r="AE102" s="18">
        <f t="shared" si="41"/>
        <v>0</v>
      </c>
      <c r="AF102" s="19">
        <f t="shared" si="42"/>
        <v>0</v>
      </c>
      <c r="AG102" s="18">
        <f t="shared" si="43"/>
        <v>0</v>
      </c>
      <c r="AH102" s="19">
        <f t="shared" si="44"/>
        <v>0</v>
      </c>
      <c r="AI102" s="18">
        <f t="shared" si="45"/>
        <v>0</v>
      </c>
      <c r="AJ102" s="19">
        <f t="shared" si="46"/>
        <v>0</v>
      </c>
      <c r="AK102" s="18">
        <f t="shared" si="47"/>
        <v>0</v>
      </c>
      <c r="AL102" s="19">
        <f t="shared" si="48"/>
        <v>0</v>
      </c>
      <c r="AM102" s="18">
        <f t="shared" si="49"/>
        <v>0</v>
      </c>
      <c r="AN102" s="20">
        <f t="shared" si="50"/>
        <v>0</v>
      </c>
    </row>
    <row r="103" spans="10:40" ht="13.5" customHeight="1">
      <c r="J103" s="17">
        <v>51</v>
      </c>
      <c r="K103" s="73">
        <f>'NACA 4-Disit'!K29-'基本設計'!$N$49</f>
        <v>-0.2948410511327994</v>
      </c>
      <c r="L103" s="74">
        <f>'NACA 4-Disit'!L29+0.0000001</f>
        <v>-0.009711459598280712</v>
      </c>
      <c r="M103" s="18">
        <f t="shared" si="27"/>
        <v>-9.46439774136286</v>
      </c>
      <c r="N103" s="19">
        <f t="shared" si="25"/>
        <v>-0.3117378531048109</v>
      </c>
      <c r="O103" s="18">
        <f t="shared" si="26"/>
        <v>-7.903899829283991</v>
      </c>
      <c r="P103" s="19">
        <f t="shared" si="25"/>
        <v>-0.2961995177475617</v>
      </c>
      <c r="Q103" s="18">
        <f t="shared" si="26"/>
        <v>-6.343401930814522</v>
      </c>
      <c r="R103" s="19">
        <f t="shared" si="28"/>
        <v>-0.28066118239031257</v>
      </c>
      <c r="S103" s="18">
        <f t="shared" si="29"/>
        <v>-4.782904032345057</v>
      </c>
      <c r="T103" s="19">
        <f t="shared" si="30"/>
        <v>-0.26512284703306344</v>
      </c>
      <c r="U103" s="18">
        <f t="shared" si="31"/>
        <v>-3.222406133875589</v>
      </c>
      <c r="V103" s="19">
        <f t="shared" si="32"/>
        <v>-0.24958451167581427</v>
      </c>
      <c r="W103" s="18">
        <f t="shared" si="33"/>
        <v>-1.6619082354061216</v>
      </c>
      <c r="X103" s="19">
        <f t="shared" si="34"/>
        <v>-0.23404617631856517</v>
      </c>
      <c r="Y103" s="18">
        <f t="shared" si="35"/>
        <v>-0.10141033693665413</v>
      </c>
      <c r="Z103" s="19">
        <f t="shared" si="36"/>
        <v>-0.218507840961316</v>
      </c>
      <c r="AA103" s="18">
        <f t="shared" si="37"/>
        <v>1.4590875615328143</v>
      </c>
      <c r="AB103" s="19">
        <f t="shared" si="38"/>
        <v>-0.20296950560406687</v>
      </c>
      <c r="AC103" s="18">
        <f t="shared" si="39"/>
        <v>0</v>
      </c>
      <c r="AD103" s="19">
        <f t="shared" si="40"/>
        <v>0</v>
      </c>
      <c r="AE103" s="18">
        <f t="shared" si="41"/>
        <v>0</v>
      </c>
      <c r="AF103" s="19">
        <f t="shared" si="42"/>
        <v>0</v>
      </c>
      <c r="AG103" s="18">
        <f t="shared" si="43"/>
        <v>0</v>
      </c>
      <c r="AH103" s="19">
        <f t="shared" si="44"/>
        <v>0</v>
      </c>
      <c r="AI103" s="18">
        <f t="shared" si="45"/>
        <v>0</v>
      </c>
      <c r="AJ103" s="19">
        <f t="shared" si="46"/>
        <v>0</v>
      </c>
      <c r="AK103" s="18">
        <f t="shared" si="47"/>
        <v>0</v>
      </c>
      <c r="AL103" s="19">
        <f t="shared" si="48"/>
        <v>0</v>
      </c>
      <c r="AM103" s="18">
        <f t="shared" si="49"/>
        <v>0</v>
      </c>
      <c r="AN103" s="20">
        <f t="shared" si="50"/>
        <v>0</v>
      </c>
    </row>
    <row r="104" spans="10:40" ht="13.5" customHeight="1" thickBot="1">
      <c r="J104" s="29">
        <v>52</v>
      </c>
      <c r="K104" s="77">
        <f>'NACA 4-Disit'!K28-'基本設計'!$N$49</f>
        <v>-0.3000001</v>
      </c>
      <c r="L104" s="78">
        <f>'NACA 4-Disit'!L28+0.0000001</f>
        <v>1E-07</v>
      </c>
      <c r="M104" s="30">
        <f t="shared" si="27"/>
        <v>-9.63000321</v>
      </c>
      <c r="N104" s="31">
        <f t="shared" si="25"/>
        <v>3.21E-06</v>
      </c>
      <c r="O104" s="30">
        <f t="shared" si="26"/>
        <v>-8.06125081973361</v>
      </c>
      <c r="P104" s="31">
        <f t="shared" si="25"/>
        <v>3.05E-06</v>
      </c>
      <c r="Q104" s="30">
        <f t="shared" si="26"/>
        <v>-6.49249844307662</v>
      </c>
      <c r="R104" s="31">
        <f t="shared" si="28"/>
        <v>2.89E-06</v>
      </c>
      <c r="S104" s="30">
        <f t="shared" si="29"/>
        <v>-4.923746066419632</v>
      </c>
      <c r="T104" s="31">
        <f t="shared" si="30"/>
        <v>2.73E-06</v>
      </c>
      <c r="U104" s="30">
        <f t="shared" si="31"/>
        <v>-3.354993689762644</v>
      </c>
      <c r="V104" s="31">
        <f t="shared" si="32"/>
        <v>2.57E-06</v>
      </c>
      <c r="W104" s="30">
        <f t="shared" si="33"/>
        <v>-1.7862413131056556</v>
      </c>
      <c r="X104" s="31">
        <f t="shared" si="34"/>
        <v>2.4100000000000002E-06</v>
      </c>
      <c r="Y104" s="30">
        <f t="shared" si="35"/>
        <v>-0.2174889364486674</v>
      </c>
      <c r="Z104" s="31">
        <f t="shared" si="36"/>
        <v>2.25E-06</v>
      </c>
      <c r="AA104" s="30">
        <f t="shared" si="37"/>
        <v>1.3512634402083217</v>
      </c>
      <c r="AB104" s="31">
        <f t="shared" si="38"/>
        <v>2.09E-06</v>
      </c>
      <c r="AC104" s="30">
        <f t="shared" si="39"/>
        <v>0</v>
      </c>
      <c r="AD104" s="31">
        <f t="shared" si="40"/>
        <v>0</v>
      </c>
      <c r="AE104" s="30">
        <f t="shared" si="41"/>
        <v>0</v>
      </c>
      <c r="AF104" s="31">
        <f t="shared" si="42"/>
        <v>0</v>
      </c>
      <c r="AG104" s="30">
        <f t="shared" si="43"/>
        <v>0</v>
      </c>
      <c r="AH104" s="31">
        <f t="shared" si="44"/>
        <v>0</v>
      </c>
      <c r="AI104" s="30">
        <f t="shared" si="45"/>
        <v>0</v>
      </c>
      <c r="AJ104" s="31">
        <f t="shared" si="46"/>
        <v>0</v>
      </c>
      <c r="AK104" s="30">
        <f t="shared" si="47"/>
        <v>0</v>
      </c>
      <c r="AL104" s="31">
        <f t="shared" si="48"/>
        <v>0</v>
      </c>
      <c r="AM104" s="30">
        <f t="shared" si="49"/>
        <v>0</v>
      </c>
      <c r="AN104" s="32">
        <f t="shared" si="50"/>
        <v>0</v>
      </c>
    </row>
    <row r="105" spans="10:40" ht="13.5" customHeight="1">
      <c r="J105" s="13">
        <v>1</v>
      </c>
      <c r="K105" s="71">
        <f>'NACA 4-Disit'!K28-'基本設計'!$N$49</f>
        <v>-0.3000001</v>
      </c>
      <c r="L105" s="72">
        <f>'NACA 4-Disit'!L28+0.0000001</f>
        <v>1E-07</v>
      </c>
      <c r="M105" s="14">
        <f>$K105*M$52+N$51</f>
        <v>-9.630003196390597</v>
      </c>
      <c r="N105" s="15">
        <f>IF(ABS($L105*M$52)&gt;=$P$49,IF($L105*M$52&lt;0,$L105*M$52+$P$49,$L105*M$52-$P$49),IF(ABS(M105)&gt;0,0.0000001,0))</f>
        <v>1E-07</v>
      </c>
      <c r="O105" s="14">
        <f>$K105*O$52+P$51</f>
        <v>-8.06125081973361</v>
      </c>
      <c r="P105" s="15">
        <f>IF(ABS($L105*O$52)&gt;=$P$49,IF($L105*O$52&lt;0,$L105*O$52+$P$49,$L105*O$52-$P$49),IF(ABS(O105)&gt;0,0.0000001,0))</f>
        <v>1E-07</v>
      </c>
      <c r="Q105" s="14">
        <f>$K105*Q$52+R$51</f>
        <v>-6.49249844307662</v>
      </c>
      <c r="R105" s="15">
        <f>IF(ABS($L105*Q$52)&gt;=$P$49,IF($L105*Q$52&lt;0,$L105*Q$52+$P$49,$L105*Q$52-$P$49),IF(ABS(Q105)&gt;0,0.0000001,0))</f>
        <v>1E-07</v>
      </c>
      <c r="S105" s="14">
        <f>$K105*S$52+T$51</f>
        <v>-4.923746066419632</v>
      </c>
      <c r="T105" s="15">
        <f>IF(ABS($L105*S$52)&gt;=$P$49,IF($L105*S$52&lt;0,$L105*S$52+$P$49,$L105*S$52-$P$49),IF(ABS(S105)&gt;0,0.0000001,0))</f>
        <v>1E-07</v>
      </c>
      <c r="U105" s="14">
        <f>$K105*U$52+V$51</f>
        <v>-3.354993689762644</v>
      </c>
      <c r="V105" s="15">
        <f>IF(ABS($L105*U$52)&gt;=$P$49,IF($L105*U$52&lt;0,$L105*U$52+$P$49,$L105*U$52-$P$49),IF(ABS(U105)&gt;0,0.0000001,0))</f>
        <v>1E-07</v>
      </c>
      <c r="W105" s="14">
        <f>$K105*W$52+X$51</f>
        <v>-1.7862413131056556</v>
      </c>
      <c r="X105" s="15">
        <f>IF(ABS($L105*W$52)&gt;=$P$49,IF($L105*W$52&lt;0,$L105*W$52+$P$49,$L105*W$52-$P$49),IF(ABS(W105)&gt;0,0.0000001,0))</f>
        <v>1E-07</v>
      </c>
      <c r="Y105" s="14">
        <f>$K105*Y$52+Z$51</f>
        <v>-0.2174889364486674</v>
      </c>
      <c r="Z105" s="15">
        <f>IF(ABS($L105*Y$52)&gt;=$P$49,IF($L105*Y$52&lt;0,$L105*Y$52+$P$49,$L105*Y$52-$P$49),IF(ABS(Y105)&gt;0,0.0000001,0))</f>
        <v>1E-07</v>
      </c>
      <c r="AA105" s="14">
        <f>$K105*AA$52+AB$51</f>
        <v>1.3512634402083217</v>
      </c>
      <c r="AB105" s="15">
        <f>IF(ABS($L105*AA$52)&gt;=$P$49,IF($L105*AA$52&lt;0,$L105*AA$52+$P$49,$L105*AA$52-$P$49),IF(ABS(AA105)&gt;0,0.0000001,0))</f>
        <v>1E-07</v>
      </c>
      <c r="AC105" s="14">
        <f>$K105*AC$52+AD$51</f>
        <v>0</v>
      </c>
      <c r="AD105" s="15">
        <f>IF(ABS($L105*AC$52)&gt;=$P$49,IF($L105*AC$52&lt;0,$L105*AC$52+$P$49,$L105*AC$52-$P$49),IF(ABS(AC105)&gt;0,0.0000001,0))</f>
        <v>0</v>
      </c>
      <c r="AE105" s="14">
        <f>$K105*AE$52+AF$51</f>
        <v>0</v>
      </c>
      <c r="AF105" s="15">
        <f>IF(ABS($L105*AE$52)&gt;=$P$49,IF($L105*AE$52&lt;0,$L105*AE$52+$P$49,$L105*AE$52-$P$49),IF(ABS(AE105)&gt;0,0.0000001,0))</f>
        <v>0</v>
      </c>
      <c r="AG105" s="14">
        <f>$K105*AG$52+AH$51</f>
        <v>0</v>
      </c>
      <c r="AH105" s="15">
        <f>IF(ABS($L105*AG$52)&gt;=$P$49,IF($L105*AG$52&lt;0,$L105*AG$52+$P$49,$L105*AG$52-$P$49),IF(ABS(AG105)&gt;0,0.0000001,0))</f>
        <v>0</v>
      </c>
      <c r="AI105" s="14">
        <f>$K105*AI$52+AJ$51</f>
        <v>0</v>
      </c>
      <c r="AJ105" s="15">
        <f>IF(ABS($L105*AI$52)&gt;=$P$49,IF($L105*AI$52&lt;0,$L105*AI$52+$P$49,$L105*AI$52-$P$49),IF(ABS(AI105)&gt;0,0.0000001,0))</f>
        <v>0</v>
      </c>
      <c r="AK105" s="14">
        <f>$K105*AK$52+AL$51</f>
        <v>0</v>
      </c>
      <c r="AL105" s="15">
        <f>IF(ABS($L105*AK$52)&gt;=$P$49,IF($L105*AK$52&lt;0,$L105*AK$52+$P$49,$L105*AK$52-$P$49),IF(ABS(AK105)&gt;0,0.0000001,0))</f>
        <v>0</v>
      </c>
      <c r="AM105" s="14">
        <f>$K105*AM$52+AN$51</f>
        <v>0</v>
      </c>
      <c r="AN105" s="16">
        <f>IF(ABS($L105*AM$52)&gt;=$P$49,IF($L105*AM$52&lt;0,$L105*AM$52+$P$49,$L105*AM$52-$P$49),IF(ABS(AM105)&gt;0,0.0000001,0))</f>
        <v>0</v>
      </c>
    </row>
    <row r="106" spans="10:40" ht="13.5" customHeight="1">
      <c r="J106" s="17">
        <v>2</v>
      </c>
      <c r="K106" s="73">
        <f>'NACA 4-Disit'!K29-'基本設計'!$N$49</f>
        <v>-0.2948410511327994</v>
      </c>
      <c r="L106" s="74">
        <f>'NACA 4-Disit'!L29+0.0000001</f>
        <v>-0.009711459598280712</v>
      </c>
      <c r="M106" s="18">
        <f aca="true" t="shared" si="51" ref="M106:M156">$K106*M$52+N$51</f>
        <v>-9.464397727753457</v>
      </c>
      <c r="N106" s="19">
        <f aca="true" t="shared" si="52" ref="N106:N156">IF(ABS($L106*M$52)&gt;=$P$49,IF($L106*M$52&lt;0,$L106*M$52+$P$49,$L106*M$52-$P$49),IF(ABS(M106)&gt;0,0.0000001,0))</f>
        <v>-0.1617378531048109</v>
      </c>
      <c r="O106" s="18">
        <f aca="true" t="shared" si="53" ref="O106:O156">$K106*O$52+P$51</f>
        <v>-7.903899829283991</v>
      </c>
      <c r="P106" s="19">
        <f aca="true" t="shared" si="54" ref="P106:P156">IF(ABS($L106*O$52)&gt;=$P$49,IF($L106*O$52&lt;0,$L106*O$52+$P$49,$L106*O$52-$P$49),IF(ABS(O106)&gt;0,0.0000001,0))</f>
        <v>-0.1461995177475617</v>
      </c>
      <c r="Q106" s="18">
        <f aca="true" t="shared" si="55" ref="Q106:Q156">$K106*Q$52+R$51</f>
        <v>-6.343401930814522</v>
      </c>
      <c r="R106" s="19">
        <f aca="true" t="shared" si="56" ref="R106:R156">IF(ABS($L106*Q$52)&gt;=$P$49,IF($L106*Q$52&lt;0,$L106*Q$52+$P$49,$L106*Q$52-$P$49),IF(ABS(Q106)&gt;0,0.0000001,0))</f>
        <v>-0.13066118239031257</v>
      </c>
      <c r="S106" s="18">
        <f aca="true" t="shared" si="57" ref="S106:S156">$K106*S$52+T$51</f>
        <v>-4.782904032345057</v>
      </c>
      <c r="T106" s="19">
        <f aca="true" t="shared" si="58" ref="T106:T156">IF(ABS($L106*S$52)&gt;=$P$49,IF($L106*S$52&lt;0,$L106*S$52+$P$49,$L106*S$52-$P$49),IF(ABS(S106)&gt;0,0.0000001,0))</f>
        <v>-0.11512284703306344</v>
      </c>
      <c r="U106" s="18">
        <f aca="true" t="shared" si="59" ref="U106:U156">$K106*U$52+V$51</f>
        <v>-3.222406133875589</v>
      </c>
      <c r="V106" s="19">
        <f aca="true" t="shared" si="60" ref="V106:V156">IF(ABS($L106*U$52)&gt;=$P$49,IF($L106*U$52&lt;0,$L106*U$52+$P$49,$L106*U$52-$P$49),IF(ABS(U106)&gt;0,0.0000001,0))</f>
        <v>-0.09958451167581428</v>
      </c>
      <c r="W106" s="18">
        <f aca="true" t="shared" si="61" ref="W106:W156">$K106*W$52+X$51</f>
        <v>-1.6619082354061216</v>
      </c>
      <c r="X106" s="19">
        <f aca="true" t="shared" si="62" ref="X106:X156">IF(ABS($L106*W$52)&gt;=$P$49,IF($L106*W$52&lt;0,$L106*W$52+$P$49,$L106*W$52-$P$49),IF(ABS(W106)&gt;0,0.0000001,0))</f>
        <v>-0.08404617631856517</v>
      </c>
      <c r="Y106" s="18">
        <f aca="true" t="shared" si="63" ref="Y106:Y156">$K106*Y$52+Z$51</f>
        <v>-0.10141033693665413</v>
      </c>
      <c r="Z106" s="19">
        <f aca="true" t="shared" si="64" ref="Z106:Z156">IF(ABS($L106*Y$52)&gt;=$P$49,IF($L106*Y$52&lt;0,$L106*Y$52+$P$49,$L106*Y$52-$P$49),IF(ABS(Y106)&gt;0,0.0000001,0))</f>
        <v>-0.06850784096131601</v>
      </c>
      <c r="AA106" s="18">
        <f aca="true" t="shared" si="65" ref="AA106:AA156">$K106*AA$52+AB$51</f>
        <v>1.4590875615328143</v>
      </c>
      <c r="AB106" s="19">
        <f aca="true" t="shared" si="66" ref="AB106:AB156">IF(ABS($L106*AA$52)&gt;=$P$49,IF($L106*AA$52&lt;0,$L106*AA$52+$P$49,$L106*AA$52-$P$49),IF(ABS(AA106)&gt;0,0.0000001,0))</f>
        <v>-0.05296950560406688</v>
      </c>
      <c r="AC106" s="18">
        <f aca="true" t="shared" si="67" ref="AC106:AC156">$K106*AC$52+AD$51</f>
        <v>0</v>
      </c>
      <c r="AD106" s="19">
        <f aca="true" t="shared" si="68" ref="AD106:AD156">IF(ABS($L106*AC$52)&gt;=$P$49,IF($L106*AC$52&lt;0,$L106*AC$52+$P$49,$L106*AC$52-$P$49),IF(ABS(AC106)&gt;0,0.0000001,0))</f>
        <v>0</v>
      </c>
      <c r="AE106" s="18">
        <f aca="true" t="shared" si="69" ref="AE106:AE156">$K106*AE$52+AF$51</f>
        <v>0</v>
      </c>
      <c r="AF106" s="19">
        <f aca="true" t="shared" si="70" ref="AF106:AF156">IF(ABS($L106*AE$52)&gt;=$P$49,IF($L106*AE$52&lt;0,$L106*AE$52+$P$49,$L106*AE$52-$P$49),IF(ABS(AE106)&gt;0,0.0000001,0))</f>
        <v>0</v>
      </c>
      <c r="AG106" s="18">
        <f aca="true" t="shared" si="71" ref="AG106:AG156">$K106*AG$52+AH$51</f>
        <v>0</v>
      </c>
      <c r="AH106" s="19">
        <f aca="true" t="shared" si="72" ref="AH106:AH156">IF(ABS($L106*AG$52)&gt;=$P$49,IF($L106*AG$52&lt;0,$L106*AG$52+$P$49,$L106*AG$52-$P$49),IF(ABS(AG106)&gt;0,0.0000001,0))</f>
        <v>0</v>
      </c>
      <c r="AI106" s="18">
        <f aca="true" t="shared" si="73" ref="AI106:AI156">$K106*AI$52+AJ$51</f>
        <v>0</v>
      </c>
      <c r="AJ106" s="19">
        <f aca="true" t="shared" si="74" ref="AJ106:AJ156">IF(ABS($L106*AI$52)&gt;=$P$49,IF($L106*AI$52&lt;0,$L106*AI$52+$P$49,$L106*AI$52-$P$49),IF(ABS(AI106)&gt;0,0.0000001,0))</f>
        <v>0</v>
      </c>
      <c r="AK106" s="18">
        <f aca="true" t="shared" si="75" ref="AK106:AK156">$K106*AK$52+AL$51</f>
        <v>0</v>
      </c>
      <c r="AL106" s="19">
        <f aca="true" t="shared" si="76" ref="AL106:AL156">IF(ABS($L106*AK$52)&gt;=$P$49,IF($L106*AK$52&lt;0,$L106*AK$52+$P$49,$L106*AK$52-$P$49),IF(ABS(AK106)&gt;0,0.0000001,0))</f>
        <v>0</v>
      </c>
      <c r="AM106" s="18">
        <f aca="true" t="shared" si="77" ref="AM106:AM156">$K106*AM$52+AN$51</f>
        <v>0</v>
      </c>
      <c r="AN106" s="20">
        <f aca="true" t="shared" si="78" ref="AN106:AN156">IF(ABS($L106*AM$52)&gt;=$P$49,IF($L106*AM$52&lt;0,$L106*AM$52+$P$49,$L106*AM$52-$P$49),IF(ABS(AM106)&gt;0,0.0000001,0))</f>
        <v>0</v>
      </c>
    </row>
    <row r="107" spans="10:40" ht="13.5" customHeight="1">
      <c r="J107" s="17">
        <v>3</v>
      </c>
      <c r="K107" s="73">
        <f>'NACA 4-Disit'!K30-'基本設計'!$N$49</f>
        <v>-0.29094712582932014</v>
      </c>
      <c r="L107" s="74">
        <f>'NACA 4-Disit'!L30+0.0000001</f>
        <v>-0.013236394711573462</v>
      </c>
      <c r="M107" s="18">
        <f t="shared" si="51"/>
        <v>-9.339402725511773</v>
      </c>
      <c r="N107" s="19">
        <f t="shared" si="52"/>
        <v>-0.2748882702415082</v>
      </c>
      <c r="O107" s="18">
        <f t="shared" si="53"/>
        <v>-7.785135107527872</v>
      </c>
      <c r="P107" s="19">
        <f t="shared" si="54"/>
        <v>-0.2537100387029906</v>
      </c>
      <c r="Q107" s="18">
        <f t="shared" si="55"/>
        <v>-6.230867489543973</v>
      </c>
      <c r="R107" s="19">
        <f t="shared" si="56"/>
        <v>-0.23253180716447305</v>
      </c>
      <c r="S107" s="18">
        <f t="shared" si="57"/>
        <v>-4.6765998715600725</v>
      </c>
      <c r="T107" s="19">
        <f t="shared" si="58"/>
        <v>-0.2113535756259555</v>
      </c>
      <c r="U107" s="18">
        <f t="shared" si="59"/>
        <v>-3.1223322535761717</v>
      </c>
      <c r="V107" s="19">
        <f t="shared" si="60"/>
        <v>-0.19017534408743794</v>
      </c>
      <c r="W107" s="18">
        <f t="shared" si="61"/>
        <v>-1.5680646355922718</v>
      </c>
      <c r="X107" s="19">
        <f t="shared" si="62"/>
        <v>-0.16899711254892044</v>
      </c>
      <c r="Y107" s="18">
        <f t="shared" si="63"/>
        <v>-0.013797017608371043</v>
      </c>
      <c r="Z107" s="19">
        <f t="shared" si="64"/>
        <v>-0.14781888101040289</v>
      </c>
      <c r="AA107" s="18">
        <f t="shared" si="65"/>
        <v>1.5404706003755306</v>
      </c>
      <c r="AB107" s="19">
        <f t="shared" si="66"/>
        <v>-0.12664064947188533</v>
      </c>
      <c r="AC107" s="18">
        <f t="shared" si="67"/>
        <v>0</v>
      </c>
      <c r="AD107" s="19">
        <f t="shared" si="68"/>
        <v>0</v>
      </c>
      <c r="AE107" s="18">
        <f t="shared" si="69"/>
        <v>0</v>
      </c>
      <c r="AF107" s="19">
        <f t="shared" si="70"/>
        <v>0</v>
      </c>
      <c r="AG107" s="18">
        <f t="shared" si="71"/>
        <v>0</v>
      </c>
      <c r="AH107" s="19">
        <f t="shared" si="72"/>
        <v>0</v>
      </c>
      <c r="AI107" s="18">
        <f t="shared" si="73"/>
        <v>0</v>
      </c>
      <c r="AJ107" s="19">
        <f t="shared" si="74"/>
        <v>0</v>
      </c>
      <c r="AK107" s="18">
        <f t="shared" si="75"/>
        <v>0</v>
      </c>
      <c r="AL107" s="19">
        <f t="shared" si="76"/>
        <v>0</v>
      </c>
      <c r="AM107" s="18">
        <f t="shared" si="77"/>
        <v>0</v>
      </c>
      <c r="AN107" s="20">
        <f t="shared" si="78"/>
        <v>0</v>
      </c>
    </row>
    <row r="108" spans="10:40" ht="13.5" customHeight="1">
      <c r="J108" s="17">
        <v>4</v>
      </c>
      <c r="K108" s="73">
        <f>'NACA 4-Disit'!K31-'基本設計'!$N$49</f>
        <v>-0.2837188678378403</v>
      </c>
      <c r="L108" s="74">
        <f>'NACA 4-Disit'!L31+0.0000001</f>
        <v>-0.017744596531518417</v>
      </c>
      <c r="M108" s="18">
        <f t="shared" si="51"/>
        <v>-9.10737564398527</v>
      </c>
      <c r="N108" s="19">
        <f t="shared" si="52"/>
        <v>-0.41960154866174115</v>
      </c>
      <c r="O108" s="18">
        <f t="shared" si="53"/>
        <v>-7.564673238787738</v>
      </c>
      <c r="P108" s="19">
        <f t="shared" si="54"/>
        <v>-0.39121019421131176</v>
      </c>
      <c r="Q108" s="18">
        <f t="shared" si="55"/>
        <v>-6.0219708335902045</v>
      </c>
      <c r="R108" s="19">
        <f t="shared" si="56"/>
        <v>-0.36281883976088225</v>
      </c>
      <c r="S108" s="18">
        <f t="shared" si="57"/>
        <v>-4.479268428392672</v>
      </c>
      <c r="T108" s="19">
        <f t="shared" si="58"/>
        <v>-0.33442748531045285</v>
      </c>
      <c r="U108" s="18">
        <f t="shared" si="59"/>
        <v>-2.936566023195139</v>
      </c>
      <c r="V108" s="19">
        <f t="shared" si="60"/>
        <v>-0.30603613086002335</v>
      </c>
      <c r="W108" s="18">
        <f t="shared" si="61"/>
        <v>-1.3938636179976065</v>
      </c>
      <c r="X108" s="19">
        <f t="shared" si="62"/>
        <v>-0.27764477640959384</v>
      </c>
      <c r="Y108" s="18">
        <f t="shared" si="63"/>
        <v>0.14883878719992616</v>
      </c>
      <c r="Z108" s="19">
        <f t="shared" si="64"/>
        <v>-0.24925342195916442</v>
      </c>
      <c r="AA108" s="18">
        <f t="shared" si="65"/>
        <v>1.6915411923974597</v>
      </c>
      <c r="AB108" s="19">
        <f t="shared" si="66"/>
        <v>-0.2208620675087349</v>
      </c>
      <c r="AC108" s="18">
        <f t="shared" si="67"/>
        <v>0</v>
      </c>
      <c r="AD108" s="19">
        <f t="shared" si="68"/>
        <v>0</v>
      </c>
      <c r="AE108" s="18">
        <f t="shared" si="69"/>
        <v>0</v>
      </c>
      <c r="AF108" s="19">
        <f t="shared" si="70"/>
        <v>0</v>
      </c>
      <c r="AG108" s="18">
        <f t="shared" si="71"/>
        <v>0</v>
      </c>
      <c r="AH108" s="19">
        <f t="shared" si="72"/>
        <v>0</v>
      </c>
      <c r="AI108" s="18">
        <f t="shared" si="73"/>
        <v>0</v>
      </c>
      <c r="AJ108" s="19">
        <f t="shared" si="74"/>
        <v>0</v>
      </c>
      <c r="AK108" s="18">
        <f t="shared" si="75"/>
        <v>0</v>
      </c>
      <c r="AL108" s="19">
        <f t="shared" si="76"/>
        <v>0</v>
      </c>
      <c r="AM108" s="18">
        <f t="shared" si="77"/>
        <v>0</v>
      </c>
      <c r="AN108" s="20">
        <f t="shared" si="78"/>
        <v>0</v>
      </c>
    </row>
    <row r="109" spans="10:40" ht="13.5" customHeight="1">
      <c r="J109" s="17">
        <v>5</v>
      </c>
      <c r="K109" s="73">
        <f>'NACA 4-Disit'!K32-'基本設計'!$N$49</f>
        <v>-0.2701170823424541</v>
      </c>
      <c r="L109" s="74">
        <f>'NACA 4-Disit'!L32+0.0000001</f>
        <v>-0.023215358043119635</v>
      </c>
      <c r="M109" s="18">
        <f t="shared" si="51"/>
        <v>-8.670758329583373</v>
      </c>
      <c r="N109" s="19">
        <f t="shared" si="52"/>
        <v>-0.5952129931841403</v>
      </c>
      <c r="O109" s="18">
        <f t="shared" si="53"/>
        <v>-7.149818781178458</v>
      </c>
      <c r="P109" s="19">
        <f t="shared" si="54"/>
        <v>-0.5580684203151488</v>
      </c>
      <c r="Q109" s="18">
        <f t="shared" si="55"/>
        <v>-5.628879232773542</v>
      </c>
      <c r="R109" s="19">
        <f t="shared" si="56"/>
        <v>-0.5209238474461574</v>
      </c>
      <c r="S109" s="18">
        <f t="shared" si="57"/>
        <v>-4.107939684368628</v>
      </c>
      <c r="T109" s="19">
        <f t="shared" si="58"/>
        <v>-0.4837792745771661</v>
      </c>
      <c r="U109" s="18">
        <f t="shared" si="59"/>
        <v>-2.587000135963714</v>
      </c>
      <c r="V109" s="19">
        <f t="shared" si="60"/>
        <v>-0.44663470170817454</v>
      </c>
      <c r="W109" s="18">
        <f t="shared" si="61"/>
        <v>-1.0660605875587992</v>
      </c>
      <c r="X109" s="19">
        <f t="shared" si="62"/>
        <v>-0.40949012883918323</v>
      </c>
      <c r="Y109" s="18">
        <f t="shared" si="63"/>
        <v>0.45487896084611545</v>
      </c>
      <c r="Z109" s="19">
        <f t="shared" si="64"/>
        <v>-0.3723455559701918</v>
      </c>
      <c r="AA109" s="18">
        <f t="shared" si="65"/>
        <v>1.975818509251031</v>
      </c>
      <c r="AB109" s="19">
        <f t="shared" si="66"/>
        <v>-0.3352009831012004</v>
      </c>
      <c r="AC109" s="18">
        <f t="shared" si="67"/>
        <v>0</v>
      </c>
      <c r="AD109" s="19">
        <f t="shared" si="68"/>
        <v>0</v>
      </c>
      <c r="AE109" s="18">
        <f t="shared" si="69"/>
        <v>0</v>
      </c>
      <c r="AF109" s="19">
        <f t="shared" si="70"/>
        <v>0</v>
      </c>
      <c r="AG109" s="18">
        <f t="shared" si="71"/>
        <v>0</v>
      </c>
      <c r="AH109" s="19">
        <f t="shared" si="72"/>
        <v>0</v>
      </c>
      <c r="AI109" s="18">
        <f t="shared" si="73"/>
        <v>0</v>
      </c>
      <c r="AJ109" s="19">
        <f t="shared" si="74"/>
        <v>0</v>
      </c>
      <c r="AK109" s="18">
        <f t="shared" si="75"/>
        <v>0</v>
      </c>
      <c r="AL109" s="19">
        <f t="shared" si="76"/>
        <v>0</v>
      </c>
      <c r="AM109" s="18">
        <f t="shared" si="77"/>
        <v>0</v>
      </c>
      <c r="AN109" s="20">
        <f t="shared" si="78"/>
        <v>0</v>
      </c>
    </row>
    <row r="110" spans="10:40" ht="13.5" customHeight="1">
      <c r="J110" s="17">
        <v>6</v>
      </c>
      <c r="K110" s="73">
        <f>'NACA 4-Disit'!K33-'基本設計'!$N$49</f>
        <v>-0.24428750915765626</v>
      </c>
      <c r="L110" s="74">
        <f>'NACA 4-Disit'!L33+0.0000001</f>
        <v>-0.02933383894895814</v>
      </c>
      <c r="M110" s="18">
        <f t="shared" si="51"/>
        <v>-7.841629030351364</v>
      </c>
      <c r="N110" s="19">
        <f t="shared" si="52"/>
        <v>-0.7916162302615563</v>
      </c>
      <c r="O110" s="18">
        <f t="shared" si="53"/>
        <v>-6.362016799042125</v>
      </c>
      <c r="P110" s="19">
        <f t="shared" si="54"/>
        <v>-0.7446820879432232</v>
      </c>
      <c r="Q110" s="18">
        <f t="shared" si="55"/>
        <v>-4.882404567732886</v>
      </c>
      <c r="R110" s="19">
        <f t="shared" si="56"/>
        <v>-0.6977479456248902</v>
      </c>
      <c r="S110" s="18">
        <f t="shared" si="57"/>
        <v>-3.4027923364236488</v>
      </c>
      <c r="T110" s="19">
        <f t="shared" si="58"/>
        <v>-0.6508138033065571</v>
      </c>
      <c r="U110" s="18">
        <f t="shared" si="59"/>
        <v>-1.92318010511441</v>
      </c>
      <c r="V110" s="19">
        <f t="shared" si="60"/>
        <v>-0.6038796609882241</v>
      </c>
      <c r="W110" s="18">
        <f t="shared" si="61"/>
        <v>-0.44356787380517204</v>
      </c>
      <c r="X110" s="19">
        <f t="shared" si="62"/>
        <v>-0.5569455186698912</v>
      </c>
      <c r="Y110" s="18">
        <f t="shared" si="63"/>
        <v>1.0360443575040668</v>
      </c>
      <c r="Z110" s="19">
        <f t="shared" si="64"/>
        <v>-0.5100113763515581</v>
      </c>
      <c r="AA110" s="18">
        <f t="shared" si="65"/>
        <v>2.5156565888133056</v>
      </c>
      <c r="AB110" s="19">
        <f t="shared" si="66"/>
        <v>-0.463077234033225</v>
      </c>
      <c r="AC110" s="18">
        <f t="shared" si="67"/>
        <v>0</v>
      </c>
      <c r="AD110" s="19">
        <f t="shared" si="68"/>
        <v>0</v>
      </c>
      <c r="AE110" s="18">
        <f t="shared" si="69"/>
        <v>0</v>
      </c>
      <c r="AF110" s="19">
        <f t="shared" si="70"/>
        <v>0</v>
      </c>
      <c r="AG110" s="18">
        <f t="shared" si="71"/>
        <v>0</v>
      </c>
      <c r="AH110" s="19">
        <f t="shared" si="72"/>
        <v>0</v>
      </c>
      <c r="AI110" s="18">
        <f t="shared" si="73"/>
        <v>0</v>
      </c>
      <c r="AJ110" s="19">
        <f t="shared" si="74"/>
        <v>0</v>
      </c>
      <c r="AK110" s="18">
        <f t="shared" si="75"/>
        <v>0</v>
      </c>
      <c r="AL110" s="19">
        <f t="shared" si="76"/>
        <v>0</v>
      </c>
      <c r="AM110" s="18">
        <f t="shared" si="77"/>
        <v>0</v>
      </c>
      <c r="AN110" s="20">
        <f t="shared" si="78"/>
        <v>0</v>
      </c>
    </row>
    <row r="111" spans="10:40" ht="13.5" customHeight="1">
      <c r="J111" s="17">
        <v>7</v>
      </c>
      <c r="K111" s="73">
        <f>'NACA 4-Disit'!K34-'基本設計'!$N$49</f>
        <v>-0.219356519576191</v>
      </c>
      <c r="L111" s="74">
        <f>'NACA 4-Disit'!L34+0.0000001</f>
        <v>-0.03296104339047188</v>
      </c>
      <c r="M111" s="18">
        <f t="shared" si="51"/>
        <v>-7.041344264786329</v>
      </c>
      <c r="N111" s="19">
        <f t="shared" si="52"/>
        <v>-0.9080494928341473</v>
      </c>
      <c r="O111" s="18">
        <f t="shared" si="53"/>
        <v>-5.601621616807434</v>
      </c>
      <c r="P111" s="19">
        <f t="shared" si="54"/>
        <v>-0.8553118234093923</v>
      </c>
      <c r="Q111" s="18">
        <f t="shared" si="55"/>
        <v>-4.16189896882854</v>
      </c>
      <c r="R111" s="19">
        <f t="shared" si="56"/>
        <v>-0.8025741539846373</v>
      </c>
      <c r="S111" s="18">
        <f t="shared" si="57"/>
        <v>-2.7221763208496466</v>
      </c>
      <c r="T111" s="19">
        <f t="shared" si="58"/>
        <v>-0.7498364845598823</v>
      </c>
      <c r="U111" s="18">
        <f t="shared" si="59"/>
        <v>-1.2824536728707532</v>
      </c>
      <c r="V111" s="19">
        <f t="shared" si="60"/>
        <v>-0.6970988151351273</v>
      </c>
      <c r="W111" s="18">
        <f t="shared" si="61"/>
        <v>0.15726897510814108</v>
      </c>
      <c r="X111" s="19">
        <f t="shared" si="62"/>
        <v>-0.6443611457103723</v>
      </c>
      <c r="Y111" s="18">
        <f t="shared" si="63"/>
        <v>1.5969916230870345</v>
      </c>
      <c r="Z111" s="19">
        <f t="shared" si="64"/>
        <v>-0.5916234762856173</v>
      </c>
      <c r="AA111" s="18">
        <f t="shared" si="65"/>
        <v>3.0367142710659287</v>
      </c>
      <c r="AB111" s="19">
        <f t="shared" si="66"/>
        <v>-0.5388858068608622</v>
      </c>
      <c r="AC111" s="18">
        <f t="shared" si="67"/>
        <v>0</v>
      </c>
      <c r="AD111" s="19">
        <f t="shared" si="68"/>
        <v>0</v>
      </c>
      <c r="AE111" s="18">
        <f t="shared" si="69"/>
        <v>0</v>
      </c>
      <c r="AF111" s="19">
        <f t="shared" si="70"/>
        <v>0</v>
      </c>
      <c r="AG111" s="18">
        <f t="shared" si="71"/>
        <v>0</v>
      </c>
      <c r="AH111" s="19">
        <f t="shared" si="72"/>
        <v>0</v>
      </c>
      <c r="AI111" s="18">
        <f t="shared" si="73"/>
        <v>0</v>
      </c>
      <c r="AJ111" s="19">
        <f t="shared" si="74"/>
        <v>0</v>
      </c>
      <c r="AK111" s="18">
        <f t="shared" si="75"/>
        <v>0</v>
      </c>
      <c r="AL111" s="19">
        <f t="shared" si="76"/>
        <v>0</v>
      </c>
      <c r="AM111" s="18">
        <f t="shared" si="77"/>
        <v>0</v>
      </c>
      <c r="AN111" s="20">
        <f t="shared" si="78"/>
        <v>0</v>
      </c>
    </row>
    <row r="112" spans="10:40" ht="13.5" customHeight="1">
      <c r="J112" s="17">
        <v>8</v>
      </c>
      <c r="K112" s="73">
        <f>'NACA 4-Disit'!K35-'基本設計'!$N$49</f>
        <v>-0.19495207732662667</v>
      </c>
      <c r="L112" s="74">
        <f>'NACA 4-Disit'!L35+0.0000001</f>
        <v>-0.035480126733733165</v>
      </c>
      <c r="M112" s="18">
        <f t="shared" si="51"/>
        <v>-6.257961668575314</v>
      </c>
      <c r="N112" s="19">
        <f t="shared" si="52"/>
        <v>-0.9889120681528346</v>
      </c>
      <c r="O112" s="18">
        <f t="shared" si="53"/>
        <v>-4.857286128195722</v>
      </c>
      <c r="P112" s="19">
        <f t="shared" si="54"/>
        <v>-0.9321438653788615</v>
      </c>
      <c r="Q112" s="18">
        <f t="shared" si="55"/>
        <v>-3.456610587816131</v>
      </c>
      <c r="R112" s="19">
        <f t="shared" si="56"/>
        <v>-0.8753756626048884</v>
      </c>
      <c r="S112" s="18">
        <f t="shared" si="57"/>
        <v>-2.0559350474365408</v>
      </c>
      <c r="T112" s="19">
        <f t="shared" si="58"/>
        <v>-0.8186074598309154</v>
      </c>
      <c r="U112" s="18">
        <f t="shared" si="59"/>
        <v>-0.6552595070569494</v>
      </c>
      <c r="V112" s="19">
        <f t="shared" si="60"/>
        <v>-0.7618392570569423</v>
      </c>
      <c r="W112" s="18">
        <f t="shared" si="61"/>
        <v>0.7454160333226412</v>
      </c>
      <c r="X112" s="19">
        <f t="shared" si="62"/>
        <v>-0.7050710542829693</v>
      </c>
      <c r="Y112" s="18">
        <f t="shared" si="63"/>
        <v>2.1460915737022326</v>
      </c>
      <c r="Z112" s="19">
        <f t="shared" si="64"/>
        <v>-0.6483028515089962</v>
      </c>
      <c r="AA112" s="18">
        <f t="shared" si="65"/>
        <v>3.546767114081824</v>
      </c>
      <c r="AB112" s="19">
        <f t="shared" si="66"/>
        <v>-0.591534648735023</v>
      </c>
      <c r="AC112" s="18">
        <f t="shared" si="67"/>
        <v>0</v>
      </c>
      <c r="AD112" s="19">
        <f t="shared" si="68"/>
        <v>0</v>
      </c>
      <c r="AE112" s="18">
        <f t="shared" si="69"/>
        <v>0</v>
      </c>
      <c r="AF112" s="19">
        <f t="shared" si="70"/>
        <v>0</v>
      </c>
      <c r="AG112" s="18">
        <f t="shared" si="71"/>
        <v>0</v>
      </c>
      <c r="AH112" s="19">
        <f t="shared" si="72"/>
        <v>0</v>
      </c>
      <c r="AI112" s="18">
        <f t="shared" si="73"/>
        <v>0</v>
      </c>
      <c r="AJ112" s="19">
        <f t="shared" si="74"/>
        <v>0</v>
      </c>
      <c r="AK112" s="18">
        <f t="shared" si="75"/>
        <v>0</v>
      </c>
      <c r="AL112" s="19">
        <f t="shared" si="76"/>
        <v>0</v>
      </c>
      <c r="AM112" s="18">
        <f t="shared" si="77"/>
        <v>0</v>
      </c>
      <c r="AN112" s="20">
        <f t="shared" si="78"/>
        <v>0</v>
      </c>
    </row>
    <row r="113" spans="10:40" ht="13.5" customHeight="1">
      <c r="J113" s="17">
        <v>9</v>
      </c>
      <c r="K113" s="73">
        <f>'NACA 4-Disit'!K36-'基本設計'!$N$49</f>
        <v>-0.1471083124780131</v>
      </c>
      <c r="L113" s="74">
        <f>'NACA 4-Disit'!L36+0.0000001</f>
        <v>-0.03908565043973823</v>
      </c>
      <c r="M113" s="18">
        <f t="shared" si="51"/>
        <v>-4.722176816934818</v>
      </c>
      <c r="N113" s="19">
        <f t="shared" si="52"/>
        <v>-1.1046493791155974</v>
      </c>
      <c r="O113" s="18">
        <f t="shared" si="53"/>
        <v>-3.398051300313008</v>
      </c>
      <c r="P113" s="19">
        <f t="shared" si="54"/>
        <v>-1.0421123384120161</v>
      </c>
      <c r="Q113" s="18">
        <f t="shared" si="55"/>
        <v>-2.0739257836911986</v>
      </c>
      <c r="R113" s="19">
        <f t="shared" si="56"/>
        <v>-0.9795752977084348</v>
      </c>
      <c r="S113" s="18">
        <f t="shared" si="57"/>
        <v>-0.7498002670693893</v>
      </c>
      <c r="T113" s="19">
        <f t="shared" si="58"/>
        <v>-0.9170382570048538</v>
      </c>
      <c r="U113" s="18">
        <f t="shared" si="59"/>
        <v>0.5743252495524191</v>
      </c>
      <c r="V113" s="19">
        <f t="shared" si="60"/>
        <v>-0.8545012163012725</v>
      </c>
      <c r="W113" s="18">
        <f t="shared" si="61"/>
        <v>1.8984507661742285</v>
      </c>
      <c r="X113" s="19">
        <f t="shared" si="62"/>
        <v>-0.7919641755976914</v>
      </c>
      <c r="Y113" s="18">
        <f t="shared" si="63"/>
        <v>3.222576282796038</v>
      </c>
      <c r="Z113" s="19">
        <f t="shared" si="64"/>
        <v>-0.7294271348941102</v>
      </c>
      <c r="AA113" s="18">
        <f t="shared" si="65"/>
        <v>4.546701799417848</v>
      </c>
      <c r="AB113" s="19">
        <f t="shared" si="66"/>
        <v>-0.6668900941905289</v>
      </c>
      <c r="AC113" s="18">
        <f t="shared" si="67"/>
        <v>0</v>
      </c>
      <c r="AD113" s="19">
        <f t="shared" si="68"/>
        <v>0</v>
      </c>
      <c r="AE113" s="18">
        <f t="shared" si="69"/>
        <v>0</v>
      </c>
      <c r="AF113" s="19">
        <f t="shared" si="70"/>
        <v>0</v>
      </c>
      <c r="AG113" s="18">
        <f t="shared" si="71"/>
        <v>0</v>
      </c>
      <c r="AH113" s="19">
        <f t="shared" si="72"/>
        <v>0</v>
      </c>
      <c r="AI113" s="18">
        <f t="shared" si="73"/>
        <v>0</v>
      </c>
      <c r="AJ113" s="19">
        <f t="shared" si="74"/>
        <v>0</v>
      </c>
      <c r="AK113" s="18">
        <f t="shared" si="75"/>
        <v>0</v>
      </c>
      <c r="AL113" s="19">
        <f t="shared" si="76"/>
        <v>0</v>
      </c>
      <c r="AM113" s="18">
        <f t="shared" si="77"/>
        <v>0</v>
      </c>
      <c r="AN113" s="20">
        <f t="shared" si="78"/>
        <v>0</v>
      </c>
    </row>
    <row r="114" spans="10:40" ht="13.5" customHeight="1">
      <c r="J114" s="17">
        <v>10</v>
      </c>
      <c r="K114" s="73">
        <f>'NACA 4-Disit'!K37-'基本設計'!$N$49</f>
        <v>-0.10000009999999998</v>
      </c>
      <c r="L114" s="74">
        <f>'NACA 4-Disit'!L37+0.0000001</f>
        <v>-0.0421589</v>
      </c>
      <c r="M114" s="18">
        <f t="shared" si="51"/>
        <v>-3.210003196390597</v>
      </c>
      <c r="N114" s="19">
        <f t="shared" si="52"/>
        <v>-1.20330069</v>
      </c>
      <c r="O114" s="18">
        <f t="shared" si="53"/>
        <v>-1.9612508197336085</v>
      </c>
      <c r="P114" s="19">
        <f t="shared" si="54"/>
        <v>-1.13584645</v>
      </c>
      <c r="Q114" s="18">
        <f t="shared" si="55"/>
        <v>-0.7124984430766199</v>
      </c>
      <c r="R114" s="19">
        <f t="shared" si="56"/>
        <v>-1.06839221</v>
      </c>
      <c r="S114" s="18">
        <f t="shared" si="57"/>
        <v>0.5362539335803684</v>
      </c>
      <c r="T114" s="19">
        <f t="shared" si="58"/>
        <v>-1.00093797</v>
      </c>
      <c r="U114" s="18">
        <f t="shared" si="59"/>
        <v>1.7850063102373563</v>
      </c>
      <c r="V114" s="19">
        <f t="shared" si="60"/>
        <v>-0.93348373</v>
      </c>
      <c r="W114" s="18">
        <f t="shared" si="61"/>
        <v>3.0337586868943447</v>
      </c>
      <c r="X114" s="19">
        <f t="shared" si="62"/>
        <v>-0.86602949</v>
      </c>
      <c r="Y114" s="18">
        <f t="shared" si="63"/>
        <v>4.282511063551333</v>
      </c>
      <c r="Z114" s="19">
        <f t="shared" si="64"/>
        <v>-0.79857525</v>
      </c>
      <c r="AA114" s="18">
        <f t="shared" si="65"/>
        <v>5.531263440208321</v>
      </c>
      <c r="AB114" s="19">
        <f t="shared" si="66"/>
        <v>-0.7311210099999998</v>
      </c>
      <c r="AC114" s="18">
        <f t="shared" si="67"/>
        <v>0</v>
      </c>
      <c r="AD114" s="19">
        <f t="shared" si="68"/>
        <v>0</v>
      </c>
      <c r="AE114" s="18">
        <f t="shared" si="69"/>
        <v>0</v>
      </c>
      <c r="AF114" s="19">
        <f t="shared" si="70"/>
        <v>0</v>
      </c>
      <c r="AG114" s="18">
        <f t="shared" si="71"/>
        <v>0</v>
      </c>
      <c r="AH114" s="19">
        <f t="shared" si="72"/>
        <v>0</v>
      </c>
      <c r="AI114" s="18">
        <f t="shared" si="73"/>
        <v>0</v>
      </c>
      <c r="AJ114" s="19">
        <f t="shared" si="74"/>
        <v>0</v>
      </c>
      <c r="AK114" s="18">
        <f t="shared" si="75"/>
        <v>0</v>
      </c>
      <c r="AL114" s="19">
        <f t="shared" si="76"/>
        <v>0</v>
      </c>
      <c r="AM114" s="18">
        <f t="shared" si="77"/>
        <v>0</v>
      </c>
      <c r="AN114" s="20">
        <f t="shared" si="78"/>
        <v>0</v>
      </c>
    </row>
    <row r="115" spans="10:40" ht="13.5" customHeight="1">
      <c r="J115" s="17">
        <v>11</v>
      </c>
      <c r="K115" s="73">
        <f>'NACA 4-Disit'!K38-'基本設計'!$N$49</f>
        <v>-0.05020124276785998</v>
      </c>
      <c r="L115" s="74">
        <f>'NACA 4-Disit'!L38+0.0000001</f>
        <v>-0.04444371071519253</v>
      </c>
      <c r="M115" s="18">
        <f t="shared" si="51"/>
        <v>-1.6114598792389025</v>
      </c>
      <c r="N115" s="19">
        <f t="shared" si="52"/>
        <v>-1.2766431139576804</v>
      </c>
      <c r="O115" s="18">
        <f t="shared" si="53"/>
        <v>-0.4423856741533383</v>
      </c>
      <c r="P115" s="19">
        <f t="shared" si="54"/>
        <v>-1.2055331768133721</v>
      </c>
      <c r="Q115" s="18">
        <f t="shared" si="55"/>
        <v>0.7266885309322262</v>
      </c>
      <c r="R115" s="19">
        <f t="shared" si="56"/>
        <v>-1.134423239669064</v>
      </c>
      <c r="S115" s="18">
        <f t="shared" si="57"/>
        <v>1.8957627360177904</v>
      </c>
      <c r="T115" s="19">
        <f t="shared" si="58"/>
        <v>-1.063313302524756</v>
      </c>
      <c r="U115" s="18">
        <f t="shared" si="59"/>
        <v>3.064836941103354</v>
      </c>
      <c r="V115" s="19">
        <f t="shared" si="60"/>
        <v>-0.992203365380448</v>
      </c>
      <c r="W115" s="18">
        <f t="shared" si="61"/>
        <v>4.233911146188919</v>
      </c>
      <c r="X115" s="19">
        <f t="shared" si="62"/>
        <v>-0.9210934282361399</v>
      </c>
      <c r="Y115" s="18">
        <f t="shared" si="63"/>
        <v>5.4029853512744825</v>
      </c>
      <c r="Z115" s="19">
        <f t="shared" si="64"/>
        <v>-0.8499834910918318</v>
      </c>
      <c r="AA115" s="18">
        <f t="shared" si="65"/>
        <v>6.572059556360047</v>
      </c>
      <c r="AB115" s="19">
        <f t="shared" si="66"/>
        <v>-0.7788735539475238</v>
      </c>
      <c r="AC115" s="18">
        <f t="shared" si="67"/>
        <v>0</v>
      </c>
      <c r="AD115" s="19">
        <f t="shared" si="68"/>
        <v>0</v>
      </c>
      <c r="AE115" s="18">
        <f t="shared" si="69"/>
        <v>0</v>
      </c>
      <c r="AF115" s="19">
        <f t="shared" si="70"/>
        <v>0</v>
      </c>
      <c r="AG115" s="18">
        <f t="shared" si="71"/>
        <v>0</v>
      </c>
      <c r="AH115" s="19">
        <f t="shared" si="72"/>
        <v>0</v>
      </c>
      <c r="AI115" s="18">
        <f t="shared" si="73"/>
        <v>0</v>
      </c>
      <c r="AJ115" s="19">
        <f t="shared" si="74"/>
        <v>0</v>
      </c>
      <c r="AK115" s="18">
        <f t="shared" si="75"/>
        <v>0</v>
      </c>
      <c r="AL115" s="19">
        <f t="shared" si="76"/>
        <v>0</v>
      </c>
      <c r="AM115" s="18">
        <f t="shared" si="77"/>
        <v>0</v>
      </c>
      <c r="AN115" s="20">
        <f t="shared" si="78"/>
        <v>0</v>
      </c>
    </row>
    <row r="116" spans="10:40" ht="13.5" customHeight="1">
      <c r="J116" s="21">
        <v>12</v>
      </c>
      <c r="K116" s="73">
        <f>'NACA 4-Disit'!K39-'基本設計'!$N$49</f>
        <v>-0.0004064795629766804</v>
      </c>
      <c r="L116" s="74">
        <f>'NACA 4-Disit'!L39+0.0000001</f>
        <v>-0.04533313007626717</v>
      </c>
      <c r="M116" s="22">
        <f t="shared" si="51"/>
        <v>-0.013047980362148734</v>
      </c>
      <c r="N116" s="23">
        <f t="shared" si="52"/>
        <v>-1.3051934754481764</v>
      </c>
      <c r="O116" s="22">
        <f t="shared" si="53"/>
        <v>1.0763546035956022</v>
      </c>
      <c r="P116" s="23">
        <f t="shared" si="54"/>
        <v>-1.2326604673261488</v>
      </c>
      <c r="Q116" s="22">
        <f t="shared" si="55"/>
        <v>2.1657571875533534</v>
      </c>
      <c r="R116" s="23">
        <f t="shared" si="56"/>
        <v>-1.1601274592041213</v>
      </c>
      <c r="S116" s="22">
        <f t="shared" si="57"/>
        <v>3.2551597715111042</v>
      </c>
      <c r="T116" s="23">
        <f t="shared" si="58"/>
        <v>-1.0875944510820938</v>
      </c>
      <c r="U116" s="22">
        <f t="shared" si="59"/>
        <v>4.344562355468855</v>
      </c>
      <c r="V116" s="23">
        <f t="shared" si="60"/>
        <v>-1.0150614429600664</v>
      </c>
      <c r="W116" s="22">
        <f t="shared" si="61"/>
        <v>5.433964939426606</v>
      </c>
      <c r="X116" s="23">
        <f t="shared" si="62"/>
        <v>-0.9425284348380388</v>
      </c>
      <c r="Y116" s="22">
        <f t="shared" si="63"/>
        <v>6.523367523384357</v>
      </c>
      <c r="Z116" s="23">
        <f t="shared" si="64"/>
        <v>-0.8699954267160114</v>
      </c>
      <c r="AA116" s="22">
        <f t="shared" si="65"/>
        <v>7.612770107342109</v>
      </c>
      <c r="AB116" s="23">
        <f t="shared" si="66"/>
        <v>-0.7974624185939838</v>
      </c>
      <c r="AC116" s="22">
        <f t="shared" si="67"/>
        <v>0</v>
      </c>
      <c r="AD116" s="23">
        <f t="shared" si="68"/>
        <v>0</v>
      </c>
      <c r="AE116" s="22">
        <f t="shared" si="69"/>
        <v>0</v>
      </c>
      <c r="AF116" s="23">
        <f t="shared" si="70"/>
        <v>0</v>
      </c>
      <c r="AG116" s="22">
        <f t="shared" si="71"/>
        <v>0</v>
      </c>
      <c r="AH116" s="23">
        <f t="shared" si="72"/>
        <v>0</v>
      </c>
      <c r="AI116" s="22">
        <f t="shared" si="73"/>
        <v>0</v>
      </c>
      <c r="AJ116" s="23">
        <f t="shared" si="74"/>
        <v>0</v>
      </c>
      <c r="AK116" s="22">
        <f t="shared" si="75"/>
        <v>0</v>
      </c>
      <c r="AL116" s="23">
        <f t="shared" si="76"/>
        <v>0</v>
      </c>
      <c r="AM116" s="22">
        <f t="shared" si="77"/>
        <v>0</v>
      </c>
      <c r="AN116" s="24">
        <f t="shared" si="78"/>
        <v>0</v>
      </c>
    </row>
    <row r="117" spans="10:40" ht="13.5" customHeight="1">
      <c r="J117" s="17">
        <v>13</v>
      </c>
      <c r="K117" s="73">
        <f>'NACA 4-Disit'!K40-'基本設計'!$N$49</f>
        <v>0.04939574529918378</v>
      </c>
      <c r="L117" s="74">
        <f>'NACA 4-Disit'!L40+0.0000001</f>
        <v>-0.04514619308706321</v>
      </c>
      <c r="M117" s="18">
        <f t="shared" si="51"/>
        <v>1.5856034377132022</v>
      </c>
      <c r="N117" s="19">
        <f t="shared" si="52"/>
        <v>-1.2991927980947293</v>
      </c>
      <c r="O117" s="18">
        <f t="shared" si="53"/>
        <v>2.595322461891496</v>
      </c>
      <c r="P117" s="19">
        <f t="shared" si="54"/>
        <v>-1.226958889155428</v>
      </c>
      <c r="Q117" s="18">
        <f t="shared" si="55"/>
        <v>3.6050414860697906</v>
      </c>
      <c r="R117" s="19">
        <f t="shared" si="56"/>
        <v>-1.1547249802161268</v>
      </c>
      <c r="S117" s="18">
        <f t="shared" si="57"/>
        <v>4.614760510248085</v>
      </c>
      <c r="T117" s="19">
        <f t="shared" si="58"/>
        <v>-1.0824910712768259</v>
      </c>
      <c r="U117" s="18">
        <f t="shared" si="59"/>
        <v>5.624479534426379</v>
      </c>
      <c r="V117" s="19">
        <f t="shared" si="60"/>
        <v>-1.0102571623375245</v>
      </c>
      <c r="W117" s="18">
        <f t="shared" si="61"/>
        <v>6.634198558604673</v>
      </c>
      <c r="X117" s="19">
        <f t="shared" si="62"/>
        <v>-0.9380232533982235</v>
      </c>
      <c r="Y117" s="18">
        <f t="shared" si="63"/>
        <v>7.643917582782967</v>
      </c>
      <c r="Z117" s="19">
        <f t="shared" si="64"/>
        <v>-0.8657893444589223</v>
      </c>
      <c r="AA117" s="18">
        <f t="shared" si="65"/>
        <v>8.653636606961262</v>
      </c>
      <c r="AB117" s="19">
        <f t="shared" si="66"/>
        <v>-0.793555435519621</v>
      </c>
      <c r="AC117" s="18">
        <f t="shared" si="67"/>
        <v>0</v>
      </c>
      <c r="AD117" s="19">
        <f t="shared" si="68"/>
        <v>0</v>
      </c>
      <c r="AE117" s="18">
        <f t="shared" si="69"/>
        <v>0</v>
      </c>
      <c r="AF117" s="19">
        <f t="shared" si="70"/>
        <v>0</v>
      </c>
      <c r="AG117" s="18">
        <f t="shared" si="71"/>
        <v>0</v>
      </c>
      <c r="AH117" s="19">
        <f t="shared" si="72"/>
        <v>0</v>
      </c>
      <c r="AI117" s="18">
        <f t="shared" si="73"/>
        <v>0</v>
      </c>
      <c r="AJ117" s="19">
        <f t="shared" si="74"/>
        <v>0</v>
      </c>
      <c r="AK117" s="18">
        <f t="shared" si="75"/>
        <v>0</v>
      </c>
      <c r="AL117" s="19">
        <f t="shared" si="76"/>
        <v>0</v>
      </c>
      <c r="AM117" s="18">
        <f t="shared" si="77"/>
        <v>0</v>
      </c>
      <c r="AN117" s="20">
        <f t="shared" si="78"/>
        <v>0</v>
      </c>
    </row>
    <row r="118" spans="10:40" ht="13.5" customHeight="1">
      <c r="J118" s="17">
        <v>14</v>
      </c>
      <c r="K118" s="73">
        <f>'NACA 4-Disit'!K41-'基本設計'!$N$49</f>
        <v>0.099214098888314</v>
      </c>
      <c r="L118" s="74">
        <f>'NACA 4-Disit'!L41+0.0000001</f>
        <v>-0.04411398893488295</v>
      </c>
      <c r="M118" s="18">
        <f t="shared" si="51"/>
        <v>3.1847725879242823</v>
      </c>
      <c r="N118" s="19">
        <f t="shared" si="52"/>
        <v>-1.2660590448097429</v>
      </c>
      <c r="O118" s="18">
        <f t="shared" si="53"/>
        <v>4.114782246359968</v>
      </c>
      <c r="P118" s="19">
        <f t="shared" si="54"/>
        <v>-1.19547666251393</v>
      </c>
      <c r="Q118" s="18">
        <f t="shared" si="55"/>
        <v>5.0447919047956535</v>
      </c>
      <c r="R118" s="19">
        <f t="shared" si="56"/>
        <v>-1.1248942802181172</v>
      </c>
      <c r="S118" s="18">
        <f t="shared" si="57"/>
        <v>5.97480156323134</v>
      </c>
      <c r="T118" s="19">
        <f t="shared" si="58"/>
        <v>-1.0543118979223045</v>
      </c>
      <c r="U118" s="18">
        <f t="shared" si="59"/>
        <v>6.904811221667026</v>
      </c>
      <c r="V118" s="19">
        <f t="shared" si="60"/>
        <v>-0.9837295156264917</v>
      </c>
      <c r="W118" s="18">
        <f t="shared" si="61"/>
        <v>7.834820880102712</v>
      </c>
      <c r="X118" s="19">
        <f t="shared" si="62"/>
        <v>-0.9131471333306792</v>
      </c>
      <c r="Y118" s="18">
        <f t="shared" si="63"/>
        <v>8.764830538538398</v>
      </c>
      <c r="Z118" s="19">
        <f t="shared" si="64"/>
        <v>-0.8425647510348663</v>
      </c>
      <c r="AA118" s="18">
        <f t="shared" si="65"/>
        <v>9.694840196974084</v>
      </c>
      <c r="AB118" s="19">
        <f t="shared" si="66"/>
        <v>-0.7719823687390536</v>
      </c>
      <c r="AC118" s="18">
        <f t="shared" si="67"/>
        <v>0</v>
      </c>
      <c r="AD118" s="19">
        <f t="shared" si="68"/>
        <v>0</v>
      </c>
      <c r="AE118" s="18">
        <f t="shared" si="69"/>
        <v>0</v>
      </c>
      <c r="AF118" s="19">
        <f t="shared" si="70"/>
        <v>0</v>
      </c>
      <c r="AG118" s="18">
        <f t="shared" si="71"/>
        <v>0</v>
      </c>
      <c r="AH118" s="19">
        <f t="shared" si="72"/>
        <v>0</v>
      </c>
      <c r="AI118" s="18">
        <f t="shared" si="73"/>
        <v>0</v>
      </c>
      <c r="AJ118" s="19">
        <f t="shared" si="74"/>
        <v>0</v>
      </c>
      <c r="AK118" s="18">
        <f t="shared" si="75"/>
        <v>0</v>
      </c>
      <c r="AL118" s="19">
        <f t="shared" si="76"/>
        <v>0</v>
      </c>
      <c r="AM118" s="18">
        <f t="shared" si="77"/>
        <v>0</v>
      </c>
      <c r="AN118" s="20">
        <f t="shared" si="78"/>
        <v>0</v>
      </c>
    </row>
    <row r="119" spans="10:40" ht="13.5" customHeight="1">
      <c r="J119" s="17">
        <v>15</v>
      </c>
      <c r="K119" s="73">
        <f>'NACA 4-Disit'!K42-'基本設計'!$N$49</f>
        <v>0.14905529655100125</v>
      </c>
      <c r="L119" s="74">
        <f>'NACA 4-Disit'!L42+0.0000001</f>
        <v>-0.04240764573592175</v>
      </c>
      <c r="M119" s="18">
        <f t="shared" si="51"/>
        <v>4.784675032896542</v>
      </c>
      <c r="N119" s="19">
        <f t="shared" si="52"/>
        <v>-1.2112854281230883</v>
      </c>
      <c r="O119" s="18">
        <f t="shared" si="53"/>
        <v>5.634938775071929</v>
      </c>
      <c r="P119" s="19">
        <f t="shared" si="54"/>
        <v>-1.1434331949456134</v>
      </c>
      <c r="Q119" s="18">
        <f t="shared" si="55"/>
        <v>6.485202517247316</v>
      </c>
      <c r="R119" s="19">
        <f t="shared" si="56"/>
        <v>-1.0755809617681384</v>
      </c>
      <c r="S119" s="18">
        <f t="shared" si="57"/>
        <v>7.335466259422702</v>
      </c>
      <c r="T119" s="19">
        <f t="shared" si="58"/>
        <v>-1.0077287285906638</v>
      </c>
      <c r="U119" s="18">
        <f t="shared" si="59"/>
        <v>8.185730001598088</v>
      </c>
      <c r="V119" s="19">
        <f t="shared" si="60"/>
        <v>-0.939876495413189</v>
      </c>
      <c r="W119" s="18">
        <f t="shared" si="61"/>
        <v>9.035993743773474</v>
      </c>
      <c r="X119" s="19">
        <f t="shared" si="62"/>
        <v>-0.872024262235714</v>
      </c>
      <c r="Y119" s="18">
        <f t="shared" si="63"/>
        <v>9.88625748594886</v>
      </c>
      <c r="Z119" s="19">
        <f t="shared" si="64"/>
        <v>-0.8041720290582393</v>
      </c>
      <c r="AA119" s="18">
        <f t="shared" si="65"/>
        <v>10.736521228124246</v>
      </c>
      <c r="AB119" s="19">
        <f t="shared" si="66"/>
        <v>-0.7363197958807645</v>
      </c>
      <c r="AC119" s="18">
        <f t="shared" si="67"/>
        <v>0</v>
      </c>
      <c r="AD119" s="19">
        <f t="shared" si="68"/>
        <v>0</v>
      </c>
      <c r="AE119" s="18">
        <f t="shared" si="69"/>
        <v>0</v>
      </c>
      <c r="AF119" s="19">
        <f t="shared" si="70"/>
        <v>0</v>
      </c>
      <c r="AG119" s="18">
        <f t="shared" si="71"/>
        <v>0</v>
      </c>
      <c r="AH119" s="19">
        <f t="shared" si="72"/>
        <v>0</v>
      </c>
      <c r="AI119" s="18">
        <f t="shared" si="73"/>
        <v>0</v>
      </c>
      <c r="AJ119" s="19">
        <f t="shared" si="74"/>
        <v>0</v>
      </c>
      <c r="AK119" s="18">
        <f t="shared" si="75"/>
        <v>0</v>
      </c>
      <c r="AL119" s="19">
        <f t="shared" si="76"/>
        <v>0</v>
      </c>
      <c r="AM119" s="18">
        <f t="shared" si="77"/>
        <v>0</v>
      </c>
      <c r="AN119" s="20">
        <f t="shared" si="78"/>
        <v>0</v>
      </c>
    </row>
    <row r="120" spans="10:40" ht="13.5" customHeight="1">
      <c r="J120" s="17">
        <v>16</v>
      </c>
      <c r="K120" s="73">
        <f>'NACA 4-Disit'!K43-'基本設計'!$N$49</f>
        <v>0.19892466398972097</v>
      </c>
      <c r="L120" s="74">
        <f>'NACA 4-Disit'!L43+0.0000001</f>
        <v>-0.040158320548215096</v>
      </c>
      <c r="M120" s="18">
        <f t="shared" si="51"/>
        <v>6.385481727679446</v>
      </c>
      <c r="N120" s="19">
        <f t="shared" si="52"/>
        <v>-1.1390820895977047</v>
      </c>
      <c r="O120" s="18">
        <f t="shared" si="53"/>
        <v>7.155954481952881</v>
      </c>
      <c r="P120" s="19">
        <f t="shared" si="54"/>
        <v>-1.0748287767205604</v>
      </c>
      <c r="Q120" s="18">
        <f t="shared" si="55"/>
        <v>7.926427236226315</v>
      </c>
      <c r="R120" s="19">
        <f t="shared" si="56"/>
        <v>-1.0105754638434163</v>
      </c>
      <c r="S120" s="18">
        <f t="shared" si="57"/>
        <v>8.696899990499752</v>
      </c>
      <c r="T120" s="19">
        <f t="shared" si="58"/>
        <v>-0.9463221509662721</v>
      </c>
      <c r="U120" s="18">
        <f t="shared" si="59"/>
        <v>9.467372744773185</v>
      </c>
      <c r="V120" s="19">
        <f t="shared" si="60"/>
        <v>-0.8820688380891278</v>
      </c>
      <c r="W120" s="18">
        <f t="shared" si="61"/>
        <v>10.237845499046621</v>
      </c>
      <c r="X120" s="19">
        <f t="shared" si="62"/>
        <v>-0.8178155252119839</v>
      </c>
      <c r="Y120" s="18">
        <f t="shared" si="63"/>
        <v>11.008318253320054</v>
      </c>
      <c r="Z120" s="19">
        <f t="shared" si="64"/>
        <v>-0.7535622123348397</v>
      </c>
      <c r="AA120" s="18">
        <f t="shared" si="65"/>
        <v>11.77879100759349</v>
      </c>
      <c r="AB120" s="19">
        <f t="shared" si="66"/>
        <v>-0.6893088994576955</v>
      </c>
      <c r="AC120" s="18">
        <f t="shared" si="67"/>
        <v>0</v>
      </c>
      <c r="AD120" s="19">
        <f t="shared" si="68"/>
        <v>0</v>
      </c>
      <c r="AE120" s="18">
        <f t="shared" si="69"/>
        <v>0</v>
      </c>
      <c r="AF120" s="19">
        <f t="shared" si="70"/>
        <v>0</v>
      </c>
      <c r="AG120" s="18">
        <f t="shared" si="71"/>
        <v>0</v>
      </c>
      <c r="AH120" s="19">
        <f t="shared" si="72"/>
        <v>0</v>
      </c>
      <c r="AI120" s="18">
        <f t="shared" si="73"/>
        <v>0</v>
      </c>
      <c r="AJ120" s="19">
        <f t="shared" si="74"/>
        <v>0</v>
      </c>
      <c r="AK120" s="18">
        <f t="shared" si="75"/>
        <v>0</v>
      </c>
      <c r="AL120" s="19">
        <f t="shared" si="76"/>
        <v>0</v>
      </c>
      <c r="AM120" s="18">
        <f t="shared" si="77"/>
        <v>0</v>
      </c>
      <c r="AN120" s="20">
        <f t="shared" si="78"/>
        <v>0</v>
      </c>
    </row>
    <row r="121" spans="10:40" ht="13.5" customHeight="1">
      <c r="J121" s="17">
        <v>17</v>
      </c>
      <c r="K121" s="73">
        <f>'NACA 4-Disit'!K44-'基本設計'!$N$49</f>
        <v>0.24882647759190069</v>
      </c>
      <c r="L121" s="74">
        <f>'NACA 4-Disit'!L44+0.0000001</f>
        <v>-0.03747019222739835</v>
      </c>
      <c r="M121" s="18">
        <f t="shared" si="51"/>
        <v>7.987329944309415</v>
      </c>
      <c r="N121" s="19">
        <f t="shared" si="52"/>
        <v>-1.052793170499487</v>
      </c>
      <c r="O121" s="18">
        <f t="shared" si="53"/>
        <v>8.677959796819362</v>
      </c>
      <c r="P121" s="19">
        <f t="shared" si="54"/>
        <v>-0.9928408629356497</v>
      </c>
      <c r="Q121" s="18">
        <f t="shared" si="55"/>
        <v>9.368589649329309</v>
      </c>
      <c r="R121" s="19">
        <f t="shared" si="56"/>
        <v>-0.9328885553718121</v>
      </c>
      <c r="S121" s="18">
        <f t="shared" si="57"/>
        <v>10.059219501839257</v>
      </c>
      <c r="T121" s="19">
        <f t="shared" si="58"/>
        <v>-0.8729362478079749</v>
      </c>
      <c r="U121" s="18">
        <f t="shared" si="59"/>
        <v>10.749849354349204</v>
      </c>
      <c r="V121" s="19">
        <f t="shared" si="60"/>
        <v>-0.8129839402441376</v>
      </c>
      <c r="W121" s="18">
        <f t="shared" si="61"/>
        <v>11.440479206859152</v>
      </c>
      <c r="X121" s="19">
        <f t="shared" si="62"/>
        <v>-0.7530316326803003</v>
      </c>
      <c r="Y121" s="18">
        <f t="shared" si="63"/>
        <v>12.131109059369098</v>
      </c>
      <c r="Z121" s="19">
        <f t="shared" si="64"/>
        <v>-0.6930793251164629</v>
      </c>
      <c r="AA121" s="18">
        <f t="shared" si="65"/>
        <v>12.821738911879045</v>
      </c>
      <c r="AB121" s="19">
        <f t="shared" si="66"/>
        <v>-0.6331270175526255</v>
      </c>
      <c r="AC121" s="18">
        <f t="shared" si="67"/>
        <v>0</v>
      </c>
      <c r="AD121" s="19">
        <f t="shared" si="68"/>
        <v>0</v>
      </c>
      <c r="AE121" s="18">
        <f t="shared" si="69"/>
        <v>0</v>
      </c>
      <c r="AF121" s="19">
        <f t="shared" si="70"/>
        <v>0</v>
      </c>
      <c r="AG121" s="18">
        <f t="shared" si="71"/>
        <v>0</v>
      </c>
      <c r="AH121" s="19">
        <f t="shared" si="72"/>
        <v>0</v>
      </c>
      <c r="AI121" s="18">
        <f t="shared" si="73"/>
        <v>0</v>
      </c>
      <c r="AJ121" s="19">
        <f t="shared" si="74"/>
        <v>0</v>
      </c>
      <c r="AK121" s="18">
        <f t="shared" si="75"/>
        <v>0</v>
      </c>
      <c r="AL121" s="19">
        <f t="shared" si="76"/>
        <v>0</v>
      </c>
      <c r="AM121" s="18">
        <f t="shared" si="77"/>
        <v>0</v>
      </c>
      <c r="AN121" s="20">
        <f t="shared" si="78"/>
        <v>0</v>
      </c>
    </row>
    <row r="122" spans="10:40" ht="13.5" customHeight="1">
      <c r="J122" s="17">
        <v>18</v>
      </c>
      <c r="K122" s="73">
        <f>'NACA 4-Disit'!K45-'基本設計'!$N$49</f>
        <v>0.2987642610768484</v>
      </c>
      <c r="L122" s="74">
        <f>'NACA 4-Disit'!L45+0.0000001</f>
        <v>-0.034425456926063996</v>
      </c>
      <c r="M122" s="18">
        <f t="shared" si="51"/>
        <v>9.590332794176238</v>
      </c>
      <c r="N122" s="19">
        <f t="shared" si="52"/>
        <v>-0.9550571673266542</v>
      </c>
      <c r="O122" s="18">
        <f t="shared" si="53"/>
        <v>10.201062193110266</v>
      </c>
      <c r="P122" s="19">
        <f t="shared" si="54"/>
        <v>-0.8999764362449519</v>
      </c>
      <c r="Q122" s="18">
        <f t="shared" si="55"/>
        <v>10.811791592044298</v>
      </c>
      <c r="R122" s="19">
        <f t="shared" si="56"/>
        <v>-0.8448957051632494</v>
      </c>
      <c r="S122" s="18">
        <f t="shared" si="57"/>
        <v>11.42252099097833</v>
      </c>
      <c r="T122" s="19">
        <f t="shared" si="58"/>
        <v>-0.7898149740815471</v>
      </c>
      <c r="U122" s="18">
        <f t="shared" si="59"/>
        <v>12.033250389912359</v>
      </c>
      <c r="V122" s="19">
        <f t="shared" si="60"/>
        <v>-0.7347342429998447</v>
      </c>
      <c r="W122" s="18">
        <f t="shared" si="61"/>
        <v>12.64397978884639</v>
      </c>
      <c r="X122" s="19">
        <f t="shared" si="62"/>
        <v>-0.6796535119181424</v>
      </c>
      <c r="Y122" s="18">
        <f t="shared" si="63"/>
        <v>13.25470918778042</v>
      </c>
      <c r="Z122" s="19">
        <f t="shared" si="64"/>
        <v>-0.6245727808364399</v>
      </c>
      <c r="AA122" s="18">
        <f t="shared" si="65"/>
        <v>13.865438586714452</v>
      </c>
      <c r="AB122" s="19">
        <f t="shared" si="66"/>
        <v>-0.5694920497547374</v>
      </c>
      <c r="AC122" s="18">
        <f t="shared" si="67"/>
        <v>0</v>
      </c>
      <c r="AD122" s="19">
        <f t="shared" si="68"/>
        <v>0</v>
      </c>
      <c r="AE122" s="18">
        <f t="shared" si="69"/>
        <v>0</v>
      </c>
      <c r="AF122" s="19">
        <f t="shared" si="70"/>
        <v>0</v>
      </c>
      <c r="AG122" s="18">
        <f t="shared" si="71"/>
        <v>0</v>
      </c>
      <c r="AH122" s="19">
        <f t="shared" si="72"/>
        <v>0</v>
      </c>
      <c r="AI122" s="18">
        <f t="shared" si="73"/>
        <v>0</v>
      </c>
      <c r="AJ122" s="19">
        <f t="shared" si="74"/>
        <v>0</v>
      </c>
      <c r="AK122" s="18">
        <f t="shared" si="75"/>
        <v>0</v>
      </c>
      <c r="AL122" s="19">
        <f t="shared" si="76"/>
        <v>0</v>
      </c>
      <c r="AM122" s="18">
        <f t="shared" si="77"/>
        <v>0</v>
      </c>
      <c r="AN122" s="20">
        <f t="shared" si="78"/>
        <v>0</v>
      </c>
    </row>
    <row r="123" spans="10:40" ht="13.5" customHeight="1">
      <c r="J123" s="17">
        <v>19</v>
      </c>
      <c r="K123" s="73">
        <f>'NACA 4-Disit'!K46-'基本設計'!$N$49</f>
        <v>0.3487411571192319</v>
      </c>
      <c r="L123" s="74">
        <f>'NACA 4-Disit'!L46+0.0000001</f>
        <v>-0.031083327427311517</v>
      </c>
      <c r="M123" s="18">
        <f t="shared" si="51"/>
        <v>11.194591157136749</v>
      </c>
      <c r="N123" s="19">
        <f t="shared" si="52"/>
        <v>-0.8477748104166997</v>
      </c>
      <c r="O123" s="18">
        <f t="shared" si="53"/>
        <v>11.725357522402964</v>
      </c>
      <c r="P123" s="19">
        <f t="shared" si="54"/>
        <v>-0.7980414865330012</v>
      </c>
      <c r="Q123" s="18">
        <f t="shared" si="55"/>
        <v>12.256123887669181</v>
      </c>
      <c r="R123" s="19">
        <f t="shared" si="56"/>
        <v>-0.7483081626493028</v>
      </c>
      <c r="S123" s="18">
        <f t="shared" si="57"/>
        <v>12.7868902529354</v>
      </c>
      <c r="T123" s="19">
        <f t="shared" si="58"/>
        <v>-0.6985748387656044</v>
      </c>
      <c r="U123" s="18">
        <f t="shared" si="59"/>
        <v>13.317656618201617</v>
      </c>
      <c r="V123" s="19">
        <f t="shared" si="60"/>
        <v>-0.6488415148819059</v>
      </c>
      <c r="W123" s="18">
        <f t="shared" si="61"/>
        <v>13.848422983467835</v>
      </c>
      <c r="X123" s="19">
        <f t="shared" si="62"/>
        <v>-0.5991081909982076</v>
      </c>
      <c r="Y123" s="18">
        <f t="shared" si="63"/>
        <v>14.379189348734052</v>
      </c>
      <c r="Z123" s="19">
        <f t="shared" si="64"/>
        <v>-0.5493748671145091</v>
      </c>
      <c r="AA123" s="18">
        <f t="shared" si="65"/>
        <v>14.909955714000269</v>
      </c>
      <c r="AB123" s="19">
        <f t="shared" si="66"/>
        <v>-0.49964154323081067</v>
      </c>
      <c r="AC123" s="18">
        <f t="shared" si="67"/>
        <v>0</v>
      </c>
      <c r="AD123" s="19">
        <f t="shared" si="68"/>
        <v>0</v>
      </c>
      <c r="AE123" s="18">
        <f t="shared" si="69"/>
        <v>0</v>
      </c>
      <c r="AF123" s="19">
        <f t="shared" si="70"/>
        <v>0</v>
      </c>
      <c r="AG123" s="18">
        <f t="shared" si="71"/>
        <v>0</v>
      </c>
      <c r="AH123" s="19">
        <f t="shared" si="72"/>
        <v>0</v>
      </c>
      <c r="AI123" s="18">
        <f t="shared" si="73"/>
        <v>0</v>
      </c>
      <c r="AJ123" s="19">
        <f t="shared" si="74"/>
        <v>0</v>
      </c>
      <c r="AK123" s="18">
        <f t="shared" si="75"/>
        <v>0</v>
      </c>
      <c r="AL123" s="19">
        <f t="shared" si="76"/>
        <v>0</v>
      </c>
      <c r="AM123" s="18">
        <f t="shared" si="77"/>
        <v>0</v>
      </c>
      <c r="AN123" s="20">
        <f t="shared" si="78"/>
        <v>0</v>
      </c>
    </row>
    <row r="124" spans="10:40" ht="13.5" customHeight="1">
      <c r="J124" s="17">
        <v>20</v>
      </c>
      <c r="K124" s="73">
        <f>'NACA 4-Disit'!K47-'基本設計'!$N$49</f>
        <v>0.3987599740348615</v>
      </c>
      <c r="L124" s="74">
        <f>'NACA 4-Disit'!L47+0.0000001</f>
        <v>-0.027490030884428775</v>
      </c>
      <c r="M124" s="18">
        <f t="shared" si="51"/>
        <v>12.800195180128458</v>
      </c>
      <c r="N124" s="19">
        <f t="shared" si="52"/>
        <v>-0.7324299913901637</v>
      </c>
      <c r="O124" s="18">
        <f t="shared" si="53"/>
        <v>13.250931438329667</v>
      </c>
      <c r="P124" s="19">
        <f t="shared" si="54"/>
        <v>-0.6884459419750776</v>
      </c>
      <c r="Q124" s="18">
        <f t="shared" si="55"/>
        <v>13.701667696530876</v>
      </c>
      <c r="R124" s="19">
        <f t="shared" si="56"/>
        <v>-0.6444618925599915</v>
      </c>
      <c r="S124" s="18">
        <f t="shared" si="57"/>
        <v>14.152403954732087</v>
      </c>
      <c r="T124" s="19">
        <f t="shared" si="58"/>
        <v>-0.6004778431449056</v>
      </c>
      <c r="U124" s="18">
        <f t="shared" si="59"/>
        <v>14.603140212933297</v>
      </c>
      <c r="V124" s="19">
        <f t="shared" si="60"/>
        <v>-0.5564937937298194</v>
      </c>
      <c r="W124" s="18">
        <f t="shared" si="61"/>
        <v>15.053876471134508</v>
      </c>
      <c r="X124" s="19">
        <f t="shared" si="62"/>
        <v>-0.5125097443147335</v>
      </c>
      <c r="Y124" s="18">
        <f t="shared" si="63"/>
        <v>15.504612729335717</v>
      </c>
      <c r="Z124" s="19">
        <f t="shared" si="64"/>
        <v>-0.46852569489964746</v>
      </c>
      <c r="AA124" s="18">
        <f t="shared" si="65"/>
        <v>15.955348987536926</v>
      </c>
      <c r="AB124" s="19">
        <f t="shared" si="66"/>
        <v>-0.4245416454845613</v>
      </c>
      <c r="AC124" s="18">
        <f t="shared" si="67"/>
        <v>0</v>
      </c>
      <c r="AD124" s="19">
        <f t="shared" si="68"/>
        <v>0</v>
      </c>
      <c r="AE124" s="18">
        <f t="shared" si="69"/>
        <v>0</v>
      </c>
      <c r="AF124" s="19">
        <f t="shared" si="70"/>
        <v>0</v>
      </c>
      <c r="AG124" s="18">
        <f t="shared" si="71"/>
        <v>0</v>
      </c>
      <c r="AH124" s="19">
        <f t="shared" si="72"/>
        <v>0</v>
      </c>
      <c r="AI124" s="18">
        <f t="shared" si="73"/>
        <v>0</v>
      </c>
      <c r="AJ124" s="19">
        <f t="shared" si="74"/>
        <v>0</v>
      </c>
      <c r="AK124" s="18">
        <f t="shared" si="75"/>
        <v>0</v>
      </c>
      <c r="AL124" s="19">
        <f t="shared" si="76"/>
        <v>0</v>
      </c>
      <c r="AM124" s="18">
        <f t="shared" si="77"/>
        <v>0</v>
      </c>
      <c r="AN124" s="20">
        <f t="shared" si="78"/>
        <v>0</v>
      </c>
    </row>
    <row r="125" spans="10:40" ht="13.5" customHeight="1">
      <c r="J125" s="17">
        <v>21</v>
      </c>
      <c r="K125" s="73">
        <f>'NACA 4-Disit'!K48-'基本設計'!$N$49</f>
        <v>0.4488235260704163</v>
      </c>
      <c r="L125" s="74">
        <f>'NACA 4-Disit'!L48+0.0000001</f>
        <v>-0.023674812042435347</v>
      </c>
      <c r="M125" s="18">
        <f t="shared" si="51"/>
        <v>14.407235200469767</v>
      </c>
      <c r="N125" s="19">
        <f t="shared" si="52"/>
        <v>-0.6099614665621746</v>
      </c>
      <c r="O125" s="18">
        <f t="shared" si="53"/>
        <v>14.777869775414088</v>
      </c>
      <c r="P125" s="19">
        <f t="shared" si="54"/>
        <v>-0.5720817672942781</v>
      </c>
      <c r="Q125" s="18">
        <f t="shared" si="55"/>
        <v>15.14850435035841</v>
      </c>
      <c r="R125" s="19">
        <f t="shared" si="56"/>
        <v>-0.5342020680263815</v>
      </c>
      <c r="S125" s="18">
        <f t="shared" si="57"/>
        <v>15.519138925302734</v>
      </c>
      <c r="T125" s="19">
        <f t="shared" si="58"/>
        <v>-0.496322368758485</v>
      </c>
      <c r="U125" s="18">
        <f t="shared" si="59"/>
        <v>15.889773500247056</v>
      </c>
      <c r="V125" s="19">
        <f t="shared" si="60"/>
        <v>-0.45844266949058843</v>
      </c>
      <c r="W125" s="18">
        <f t="shared" si="61"/>
        <v>16.26040807519138</v>
      </c>
      <c r="X125" s="19">
        <f t="shared" si="62"/>
        <v>-0.42056297022269185</v>
      </c>
      <c r="Y125" s="18">
        <f t="shared" si="63"/>
        <v>16.631042650135697</v>
      </c>
      <c r="Z125" s="19">
        <f t="shared" si="64"/>
        <v>-0.38268327095479526</v>
      </c>
      <c r="AA125" s="18">
        <f t="shared" si="65"/>
        <v>17.001677225080023</v>
      </c>
      <c r="AB125" s="19">
        <f t="shared" si="66"/>
        <v>-0.3448035716868987</v>
      </c>
      <c r="AC125" s="18">
        <f t="shared" si="67"/>
        <v>0</v>
      </c>
      <c r="AD125" s="19">
        <f t="shared" si="68"/>
        <v>0</v>
      </c>
      <c r="AE125" s="18">
        <f t="shared" si="69"/>
        <v>0</v>
      </c>
      <c r="AF125" s="19">
        <f t="shared" si="70"/>
        <v>0</v>
      </c>
      <c r="AG125" s="18">
        <f t="shared" si="71"/>
        <v>0</v>
      </c>
      <c r="AH125" s="19">
        <f t="shared" si="72"/>
        <v>0</v>
      </c>
      <c r="AI125" s="18">
        <f t="shared" si="73"/>
        <v>0</v>
      </c>
      <c r="AJ125" s="19">
        <f t="shared" si="74"/>
        <v>0</v>
      </c>
      <c r="AK125" s="18">
        <f t="shared" si="75"/>
        <v>0</v>
      </c>
      <c r="AL125" s="19">
        <f t="shared" si="76"/>
        <v>0</v>
      </c>
      <c r="AM125" s="18">
        <f t="shared" si="77"/>
        <v>0</v>
      </c>
      <c r="AN125" s="20">
        <f t="shared" si="78"/>
        <v>0</v>
      </c>
    </row>
    <row r="126" spans="10:40" ht="13.5" customHeight="1">
      <c r="J126" s="17">
        <v>22</v>
      </c>
      <c r="K126" s="73">
        <f>'NACA 4-Disit'!K49-'基本設計'!$N$49</f>
        <v>0.49893482361873687</v>
      </c>
      <c r="L126" s="74">
        <f>'NACA 4-Disit'!L49+0.0000001</f>
        <v>-0.019651936833686334</v>
      </c>
      <c r="M126" s="18">
        <f t="shared" si="51"/>
        <v>16.015807851770855</v>
      </c>
      <c r="N126" s="19">
        <f t="shared" si="52"/>
        <v>-0.4808271723613313</v>
      </c>
      <c r="O126" s="18">
        <f t="shared" si="53"/>
        <v>16.306264350637864</v>
      </c>
      <c r="P126" s="19">
        <f t="shared" si="54"/>
        <v>-0.44938407342743314</v>
      </c>
      <c r="Q126" s="18">
        <f t="shared" si="55"/>
        <v>16.596720849504873</v>
      </c>
      <c r="R126" s="19">
        <f t="shared" si="56"/>
        <v>-0.41794097449353496</v>
      </c>
      <c r="S126" s="18">
        <f t="shared" si="57"/>
        <v>16.887177348371885</v>
      </c>
      <c r="T126" s="19">
        <f t="shared" si="58"/>
        <v>-0.3864978755596369</v>
      </c>
      <c r="U126" s="18">
        <f t="shared" si="59"/>
        <v>17.177633847238894</v>
      </c>
      <c r="V126" s="19">
        <f t="shared" si="60"/>
        <v>-0.3550547766257387</v>
      </c>
      <c r="W126" s="18">
        <f t="shared" si="61"/>
        <v>17.468090346105903</v>
      </c>
      <c r="X126" s="19">
        <f t="shared" si="62"/>
        <v>-0.3236116776918406</v>
      </c>
      <c r="Y126" s="18">
        <f t="shared" si="63"/>
        <v>17.758546844972912</v>
      </c>
      <c r="Z126" s="19">
        <f t="shared" si="64"/>
        <v>-0.29216857875794255</v>
      </c>
      <c r="AA126" s="18">
        <f t="shared" si="65"/>
        <v>18.04900334383992</v>
      </c>
      <c r="AB126" s="19">
        <f t="shared" si="66"/>
        <v>-0.26072547982404437</v>
      </c>
      <c r="AC126" s="18">
        <f t="shared" si="67"/>
        <v>0</v>
      </c>
      <c r="AD126" s="19">
        <f t="shared" si="68"/>
        <v>0</v>
      </c>
      <c r="AE126" s="18">
        <f t="shared" si="69"/>
        <v>0</v>
      </c>
      <c r="AF126" s="19">
        <f t="shared" si="70"/>
        <v>0</v>
      </c>
      <c r="AG126" s="18">
        <f t="shared" si="71"/>
        <v>0</v>
      </c>
      <c r="AH126" s="19">
        <f t="shared" si="72"/>
        <v>0</v>
      </c>
      <c r="AI126" s="18">
        <f t="shared" si="73"/>
        <v>0</v>
      </c>
      <c r="AJ126" s="19">
        <f t="shared" si="74"/>
        <v>0</v>
      </c>
      <c r="AK126" s="18">
        <f t="shared" si="75"/>
        <v>0</v>
      </c>
      <c r="AL126" s="19">
        <f t="shared" si="76"/>
        <v>0</v>
      </c>
      <c r="AM126" s="18">
        <f t="shared" si="77"/>
        <v>0</v>
      </c>
      <c r="AN126" s="20">
        <f t="shared" si="78"/>
        <v>0</v>
      </c>
    </row>
    <row r="127" spans="10:40" ht="13.5" customHeight="1">
      <c r="J127" s="17">
        <v>23</v>
      </c>
      <c r="K127" s="73">
        <f>'NACA 4-Disit'!K50-'基本設計'!$N$49</f>
        <v>0.5490971040508605</v>
      </c>
      <c r="L127" s="74">
        <f>'NACA 4-Disit'!L50+0.0000001</f>
        <v>-0.015425694517279364</v>
      </c>
      <c r="M127" s="18">
        <f t="shared" si="51"/>
        <v>17.626017053642027</v>
      </c>
      <c r="N127" s="19">
        <f t="shared" si="52"/>
        <v>-0.3451647940046676</v>
      </c>
      <c r="O127" s="18">
        <f t="shared" si="53"/>
        <v>17.836213903817637</v>
      </c>
      <c r="P127" s="19">
        <f t="shared" si="54"/>
        <v>-0.32048368277702055</v>
      </c>
      <c r="Q127" s="18">
        <f t="shared" si="55"/>
        <v>18.04641075399325</v>
      </c>
      <c r="R127" s="19">
        <f t="shared" si="56"/>
        <v>-0.2958025715493736</v>
      </c>
      <c r="S127" s="18">
        <f t="shared" si="57"/>
        <v>18.256607604168863</v>
      </c>
      <c r="T127" s="19">
        <f t="shared" si="58"/>
        <v>-0.2711214603217267</v>
      </c>
      <c r="U127" s="18">
        <f t="shared" si="59"/>
        <v>18.466804454344473</v>
      </c>
      <c r="V127" s="19">
        <f t="shared" si="60"/>
        <v>-0.24644034909407966</v>
      </c>
      <c r="W127" s="18">
        <f t="shared" si="61"/>
        <v>18.677001304520083</v>
      </c>
      <c r="X127" s="19">
        <f t="shared" si="62"/>
        <v>-0.22175923786643267</v>
      </c>
      <c r="Y127" s="18">
        <f t="shared" si="63"/>
        <v>18.887198154695696</v>
      </c>
      <c r="Z127" s="19">
        <f t="shared" si="64"/>
        <v>-0.19707812663878568</v>
      </c>
      <c r="AA127" s="18">
        <f t="shared" si="65"/>
        <v>19.097395004871306</v>
      </c>
      <c r="AB127" s="19">
        <f t="shared" si="66"/>
        <v>-0.1723970154111387</v>
      </c>
      <c r="AC127" s="18">
        <f t="shared" si="67"/>
        <v>0</v>
      </c>
      <c r="AD127" s="19">
        <f t="shared" si="68"/>
        <v>0</v>
      </c>
      <c r="AE127" s="18">
        <f t="shared" si="69"/>
        <v>0</v>
      </c>
      <c r="AF127" s="19">
        <f t="shared" si="70"/>
        <v>0</v>
      </c>
      <c r="AG127" s="18">
        <f t="shared" si="71"/>
        <v>0</v>
      </c>
      <c r="AH127" s="19">
        <f t="shared" si="72"/>
        <v>0</v>
      </c>
      <c r="AI127" s="18">
        <f t="shared" si="73"/>
        <v>0</v>
      </c>
      <c r="AJ127" s="19">
        <f t="shared" si="74"/>
        <v>0</v>
      </c>
      <c r="AK127" s="18">
        <f t="shared" si="75"/>
        <v>0</v>
      </c>
      <c r="AL127" s="19">
        <f t="shared" si="76"/>
        <v>0</v>
      </c>
      <c r="AM127" s="18">
        <f t="shared" si="77"/>
        <v>0</v>
      </c>
      <c r="AN127" s="20">
        <f t="shared" si="78"/>
        <v>0</v>
      </c>
    </row>
    <row r="128" spans="10:40" ht="13.5" customHeight="1">
      <c r="J128" s="17">
        <v>24</v>
      </c>
      <c r="K128" s="73">
        <f>'NACA 4-Disit'!K51-'基本設計'!$N$49</f>
        <v>0.5993141622087591</v>
      </c>
      <c r="L128" s="74">
        <f>'NACA 4-Disit'!L51+0.0000001</f>
        <v>-0.010986406656935684</v>
      </c>
      <c r="M128" s="18">
        <f t="shared" si="51"/>
        <v>19.23798462051057</v>
      </c>
      <c r="N128" s="19">
        <f t="shared" si="52"/>
        <v>-0.20266365368763548</v>
      </c>
      <c r="O128" s="18">
        <f t="shared" si="53"/>
        <v>19.367834177633544</v>
      </c>
      <c r="P128" s="19">
        <f t="shared" si="54"/>
        <v>-0.18508540303653834</v>
      </c>
      <c r="Q128" s="18">
        <f t="shared" si="55"/>
        <v>19.497683734756517</v>
      </c>
      <c r="R128" s="19">
        <f t="shared" si="56"/>
        <v>-0.16750715238544125</v>
      </c>
      <c r="S128" s="18">
        <f t="shared" si="57"/>
        <v>19.62753329187949</v>
      </c>
      <c r="T128" s="19">
        <f t="shared" si="58"/>
        <v>-0.14992890173434417</v>
      </c>
      <c r="U128" s="18">
        <f t="shared" si="59"/>
        <v>19.757382849002465</v>
      </c>
      <c r="V128" s="19">
        <f t="shared" si="60"/>
        <v>-0.1323506510832471</v>
      </c>
      <c r="W128" s="18">
        <f t="shared" si="61"/>
        <v>19.887232406125438</v>
      </c>
      <c r="X128" s="19">
        <f t="shared" si="62"/>
        <v>-0.11477240043215</v>
      </c>
      <c r="Y128" s="18">
        <f t="shared" si="63"/>
        <v>20.017081963248412</v>
      </c>
      <c r="Z128" s="19">
        <f t="shared" si="64"/>
        <v>-0.0971941497810529</v>
      </c>
      <c r="AA128" s="18">
        <f t="shared" si="65"/>
        <v>20.146931520371385</v>
      </c>
      <c r="AB128" s="19">
        <f t="shared" si="66"/>
        <v>-0.07961589912995579</v>
      </c>
      <c r="AC128" s="18">
        <f t="shared" si="67"/>
        <v>0</v>
      </c>
      <c r="AD128" s="19">
        <f t="shared" si="68"/>
        <v>0</v>
      </c>
      <c r="AE128" s="18">
        <f t="shared" si="69"/>
        <v>0</v>
      </c>
      <c r="AF128" s="19">
        <f t="shared" si="70"/>
        <v>0</v>
      </c>
      <c r="AG128" s="18">
        <f t="shared" si="71"/>
        <v>0</v>
      </c>
      <c r="AH128" s="19">
        <f t="shared" si="72"/>
        <v>0</v>
      </c>
      <c r="AI128" s="18">
        <f t="shared" si="73"/>
        <v>0</v>
      </c>
      <c r="AJ128" s="19">
        <f t="shared" si="74"/>
        <v>0</v>
      </c>
      <c r="AK128" s="18">
        <f t="shared" si="75"/>
        <v>0</v>
      </c>
      <c r="AL128" s="19">
        <f t="shared" si="76"/>
        <v>0</v>
      </c>
      <c r="AM128" s="18">
        <f t="shared" si="77"/>
        <v>0</v>
      </c>
      <c r="AN128" s="20">
        <f t="shared" si="78"/>
        <v>0</v>
      </c>
    </row>
    <row r="129" spans="10:40" ht="13.5" customHeight="1">
      <c r="J129" s="17">
        <v>25</v>
      </c>
      <c r="K129" s="73">
        <f>'NACA 4-Disit'!K52-'基本設計'!$N$49</f>
        <v>0.6495905213849914</v>
      </c>
      <c r="L129" s="74">
        <f>'NACA 4-Disit'!L52+0.0000001</f>
        <v>-0.006311435453515492</v>
      </c>
      <c r="M129" s="18">
        <f t="shared" si="51"/>
        <v>20.851855750067628</v>
      </c>
      <c r="N129" s="19">
        <f t="shared" si="52"/>
        <v>-0.05259707805784733</v>
      </c>
      <c r="O129" s="18">
        <f t="shared" si="53"/>
        <v>20.901263132508628</v>
      </c>
      <c r="P129" s="19">
        <f t="shared" si="54"/>
        <v>-0.04249878133222251</v>
      </c>
      <c r="Q129" s="18">
        <f t="shared" si="55"/>
        <v>20.95067051494963</v>
      </c>
      <c r="R129" s="19">
        <f t="shared" si="56"/>
        <v>-0.032400484606597724</v>
      </c>
      <c r="S129" s="18">
        <f t="shared" si="57"/>
        <v>21.000077897390632</v>
      </c>
      <c r="T129" s="19">
        <f t="shared" si="58"/>
        <v>-0.022302187880972962</v>
      </c>
      <c r="U129" s="18">
        <f t="shared" si="59"/>
        <v>21.049485279831636</v>
      </c>
      <c r="V129" s="19">
        <f t="shared" si="60"/>
        <v>-0.012203891155348146</v>
      </c>
      <c r="W129" s="18">
        <f t="shared" si="61"/>
        <v>21.09889266227264</v>
      </c>
      <c r="X129" s="19">
        <f t="shared" si="62"/>
        <v>-0.002105594429723384</v>
      </c>
      <c r="Y129" s="18">
        <f t="shared" si="63"/>
        <v>21.148300044713636</v>
      </c>
      <c r="Z129" s="19">
        <f t="shared" si="64"/>
        <v>1E-07</v>
      </c>
      <c r="AA129" s="18">
        <f t="shared" si="65"/>
        <v>21.19770742715464</v>
      </c>
      <c r="AB129" s="19">
        <f t="shared" si="66"/>
        <v>1E-07</v>
      </c>
      <c r="AC129" s="18">
        <f t="shared" si="67"/>
        <v>0</v>
      </c>
      <c r="AD129" s="19">
        <f t="shared" si="68"/>
        <v>0</v>
      </c>
      <c r="AE129" s="18">
        <f t="shared" si="69"/>
        <v>0</v>
      </c>
      <c r="AF129" s="19">
        <f t="shared" si="70"/>
        <v>0</v>
      </c>
      <c r="AG129" s="18">
        <f t="shared" si="71"/>
        <v>0</v>
      </c>
      <c r="AH129" s="19">
        <f t="shared" si="72"/>
        <v>0</v>
      </c>
      <c r="AI129" s="18">
        <f t="shared" si="73"/>
        <v>0</v>
      </c>
      <c r="AJ129" s="19">
        <f t="shared" si="74"/>
        <v>0</v>
      </c>
      <c r="AK129" s="18">
        <f t="shared" si="75"/>
        <v>0</v>
      </c>
      <c r="AL129" s="19">
        <f t="shared" si="76"/>
        <v>0</v>
      </c>
      <c r="AM129" s="18">
        <f t="shared" si="77"/>
        <v>0</v>
      </c>
      <c r="AN129" s="20">
        <f t="shared" si="78"/>
        <v>0</v>
      </c>
    </row>
    <row r="130" spans="10:40" ht="13.5" customHeight="1">
      <c r="J130" s="25">
        <v>26</v>
      </c>
      <c r="K130" s="73">
        <f>'NACA 4-Disit'!K53-'基本設計'!$N$49</f>
        <v>0.6999314854647869</v>
      </c>
      <c r="L130" s="74">
        <f>'NACA 4-Disit'!L53+0.0000001</f>
        <v>-0.001368190704262647</v>
      </c>
      <c r="M130" s="26">
        <f t="shared" si="51"/>
        <v>22.467800697029062</v>
      </c>
      <c r="N130" s="27">
        <f t="shared" si="52"/>
        <v>1E-07</v>
      </c>
      <c r="O130" s="26">
        <f t="shared" si="53"/>
        <v>22.43666253694239</v>
      </c>
      <c r="P130" s="27">
        <f t="shared" si="54"/>
        <v>1E-07</v>
      </c>
      <c r="Q130" s="26">
        <f t="shared" si="55"/>
        <v>22.40552437685572</v>
      </c>
      <c r="R130" s="27">
        <f t="shared" si="56"/>
        <v>1E-07</v>
      </c>
      <c r="S130" s="26">
        <f t="shared" si="57"/>
        <v>22.37438621676905</v>
      </c>
      <c r="T130" s="27">
        <f t="shared" si="58"/>
        <v>1E-07</v>
      </c>
      <c r="U130" s="26">
        <f t="shared" si="59"/>
        <v>22.34324805668238</v>
      </c>
      <c r="V130" s="27">
        <f t="shared" si="60"/>
        <v>1E-07</v>
      </c>
      <c r="W130" s="26">
        <f t="shared" si="61"/>
        <v>22.31210989659571</v>
      </c>
      <c r="X130" s="27">
        <f t="shared" si="62"/>
        <v>1E-07</v>
      </c>
      <c r="Y130" s="26">
        <f t="shared" si="63"/>
        <v>22.280971736509038</v>
      </c>
      <c r="Z130" s="27">
        <f t="shared" si="64"/>
        <v>1E-07</v>
      </c>
      <c r="AA130" s="26">
        <f t="shared" si="65"/>
        <v>22.24983357642237</v>
      </c>
      <c r="AB130" s="27">
        <f t="shared" si="66"/>
        <v>1E-07</v>
      </c>
      <c r="AC130" s="26">
        <f t="shared" si="67"/>
        <v>0</v>
      </c>
      <c r="AD130" s="27">
        <f t="shared" si="68"/>
        <v>0</v>
      </c>
      <c r="AE130" s="26">
        <f t="shared" si="69"/>
        <v>0</v>
      </c>
      <c r="AF130" s="27">
        <f t="shared" si="70"/>
        <v>0</v>
      </c>
      <c r="AG130" s="26">
        <f t="shared" si="71"/>
        <v>0</v>
      </c>
      <c r="AH130" s="27">
        <f t="shared" si="72"/>
        <v>0</v>
      </c>
      <c r="AI130" s="26">
        <f t="shared" si="73"/>
        <v>0</v>
      </c>
      <c r="AJ130" s="27">
        <f t="shared" si="74"/>
        <v>0</v>
      </c>
      <c r="AK130" s="26">
        <f t="shared" si="75"/>
        <v>0</v>
      </c>
      <c r="AL130" s="27">
        <f t="shared" si="76"/>
        <v>0</v>
      </c>
      <c r="AM130" s="26">
        <f t="shared" si="77"/>
        <v>0</v>
      </c>
      <c r="AN130" s="28">
        <f t="shared" si="78"/>
        <v>0</v>
      </c>
    </row>
    <row r="131" spans="10:40" ht="13.5" customHeight="1">
      <c r="J131" s="25">
        <v>27</v>
      </c>
      <c r="K131" s="197">
        <f>'NACA 4-Disit'!I53-'基本設計'!$N$49</f>
        <v>0.7000683145352132</v>
      </c>
      <c r="L131" s="198">
        <f>'NACA 4-Disit'!J53+0.0000001</f>
        <v>0.001368390704262647</v>
      </c>
      <c r="M131" s="26">
        <f t="shared" si="51"/>
        <v>22.472192910189747</v>
      </c>
      <c r="N131" s="27">
        <f t="shared" si="52"/>
        <v>1E-07</v>
      </c>
      <c r="O131" s="26">
        <f t="shared" si="53"/>
        <v>22.440835823590394</v>
      </c>
      <c r="P131" s="27">
        <f t="shared" si="54"/>
        <v>1E-07</v>
      </c>
      <c r="Q131" s="26">
        <f t="shared" si="55"/>
        <v>22.40947873699104</v>
      </c>
      <c r="R131" s="27">
        <f t="shared" si="56"/>
        <v>1E-07</v>
      </c>
      <c r="S131" s="26">
        <f t="shared" si="57"/>
        <v>22.37812165039169</v>
      </c>
      <c r="T131" s="27">
        <f t="shared" si="58"/>
        <v>1E-07</v>
      </c>
      <c r="U131" s="26">
        <f t="shared" si="59"/>
        <v>22.346764563792338</v>
      </c>
      <c r="V131" s="27">
        <f t="shared" si="60"/>
        <v>1E-07</v>
      </c>
      <c r="W131" s="26">
        <f t="shared" si="61"/>
        <v>22.315407477192984</v>
      </c>
      <c r="X131" s="27">
        <f t="shared" si="62"/>
        <v>1E-07</v>
      </c>
      <c r="Y131" s="26">
        <f t="shared" si="63"/>
        <v>22.284050390593627</v>
      </c>
      <c r="Z131" s="27">
        <f t="shared" si="64"/>
        <v>1E-07</v>
      </c>
      <c r="AA131" s="26">
        <f t="shared" si="65"/>
        <v>22.252693303994278</v>
      </c>
      <c r="AB131" s="27">
        <f t="shared" si="66"/>
        <v>1E-07</v>
      </c>
      <c r="AC131" s="26">
        <f t="shared" si="67"/>
        <v>0</v>
      </c>
      <c r="AD131" s="27">
        <f t="shared" si="68"/>
        <v>0</v>
      </c>
      <c r="AE131" s="26">
        <f t="shared" si="69"/>
        <v>0</v>
      </c>
      <c r="AF131" s="27">
        <f t="shared" si="70"/>
        <v>0</v>
      </c>
      <c r="AG131" s="26">
        <f t="shared" si="71"/>
        <v>0</v>
      </c>
      <c r="AH131" s="27">
        <f t="shared" si="72"/>
        <v>0</v>
      </c>
      <c r="AI131" s="26">
        <f t="shared" si="73"/>
        <v>0</v>
      </c>
      <c r="AJ131" s="27">
        <f t="shared" si="74"/>
        <v>0</v>
      </c>
      <c r="AK131" s="26">
        <f t="shared" si="75"/>
        <v>0</v>
      </c>
      <c r="AL131" s="27">
        <f t="shared" si="76"/>
        <v>0</v>
      </c>
      <c r="AM131" s="26">
        <f t="shared" si="77"/>
        <v>0</v>
      </c>
      <c r="AN131" s="28">
        <f t="shared" si="78"/>
        <v>0</v>
      </c>
    </row>
    <row r="132" spans="10:40" ht="13.5" customHeight="1">
      <c r="J132" s="17">
        <v>28</v>
      </c>
      <c r="K132" s="73">
        <f>'NACA 4-Disit'!I52-'基本設計'!$N$49</f>
        <v>0.6504092786150085</v>
      </c>
      <c r="L132" s="74">
        <f>'NACA 4-Disit'!J52+0.0000001</f>
        <v>0.011155385453515493</v>
      </c>
      <c r="M132" s="18">
        <f t="shared" si="51"/>
        <v>20.878137857151177</v>
      </c>
      <c r="N132" s="19">
        <f t="shared" si="52"/>
        <v>0.20808787305784734</v>
      </c>
      <c r="O132" s="18">
        <f t="shared" si="53"/>
        <v>20.92623522802415</v>
      </c>
      <c r="P132" s="19">
        <f t="shared" si="54"/>
        <v>0.19023925633222252</v>
      </c>
      <c r="Q132" s="18">
        <f t="shared" si="55"/>
        <v>20.974332598897124</v>
      </c>
      <c r="R132" s="19">
        <f t="shared" si="56"/>
        <v>0.17239063960659776</v>
      </c>
      <c r="S132" s="18">
        <f t="shared" si="57"/>
        <v>21.0224299697701</v>
      </c>
      <c r="T132" s="19">
        <f t="shared" si="58"/>
        <v>0.154542022880973</v>
      </c>
      <c r="U132" s="18">
        <f t="shared" si="59"/>
        <v>21.070527340643075</v>
      </c>
      <c r="V132" s="19">
        <f t="shared" si="60"/>
        <v>0.13669340615534817</v>
      </c>
      <c r="W132" s="18">
        <f t="shared" si="61"/>
        <v>21.118624711516052</v>
      </c>
      <c r="X132" s="19">
        <f t="shared" si="62"/>
        <v>0.1188447894297234</v>
      </c>
      <c r="Y132" s="18">
        <f t="shared" si="63"/>
        <v>21.166722082389022</v>
      </c>
      <c r="Z132" s="19">
        <f t="shared" si="64"/>
        <v>0.10099617270409858</v>
      </c>
      <c r="AA132" s="18">
        <f t="shared" si="65"/>
        <v>21.214819453262</v>
      </c>
      <c r="AB132" s="19">
        <f t="shared" si="66"/>
        <v>0.08314755597847379</v>
      </c>
      <c r="AC132" s="18">
        <f t="shared" si="67"/>
        <v>0</v>
      </c>
      <c r="AD132" s="19">
        <f t="shared" si="68"/>
        <v>0</v>
      </c>
      <c r="AE132" s="18">
        <f t="shared" si="69"/>
        <v>0</v>
      </c>
      <c r="AF132" s="19">
        <f t="shared" si="70"/>
        <v>0</v>
      </c>
      <c r="AG132" s="18">
        <f t="shared" si="71"/>
        <v>0</v>
      </c>
      <c r="AH132" s="19">
        <f t="shared" si="72"/>
        <v>0</v>
      </c>
      <c r="AI132" s="18">
        <f t="shared" si="73"/>
        <v>0</v>
      </c>
      <c r="AJ132" s="19">
        <f t="shared" si="74"/>
        <v>0</v>
      </c>
      <c r="AK132" s="18">
        <f t="shared" si="75"/>
        <v>0</v>
      </c>
      <c r="AL132" s="19">
        <f t="shared" si="76"/>
        <v>0</v>
      </c>
      <c r="AM132" s="18">
        <f t="shared" si="77"/>
        <v>0</v>
      </c>
      <c r="AN132" s="20">
        <f t="shared" si="78"/>
        <v>0</v>
      </c>
    </row>
    <row r="133" spans="10:40" ht="13.5" customHeight="1">
      <c r="J133" s="17">
        <v>29</v>
      </c>
      <c r="K133" s="73">
        <f>'NACA 4-Disit'!I51-'基本設計'!$N$49</f>
        <v>0.600685637791241</v>
      </c>
      <c r="L133" s="74">
        <f>'NACA 4-Disit'!J51+0.0000001</f>
        <v>0.020361606656935677</v>
      </c>
      <c r="M133" s="18">
        <f t="shared" si="51"/>
        <v>19.282008986708238</v>
      </c>
      <c r="N133" s="19">
        <f t="shared" si="52"/>
        <v>0.5036075736876352</v>
      </c>
      <c r="O133" s="18">
        <f t="shared" si="53"/>
        <v>19.40966418289924</v>
      </c>
      <c r="P133" s="19">
        <f t="shared" si="54"/>
        <v>0.47102900303653816</v>
      </c>
      <c r="Q133" s="18">
        <f t="shared" si="55"/>
        <v>19.537319379090242</v>
      </c>
      <c r="R133" s="19">
        <f t="shared" si="56"/>
        <v>0.438450432385441</v>
      </c>
      <c r="S133" s="18">
        <f t="shared" si="57"/>
        <v>19.664974575281246</v>
      </c>
      <c r="T133" s="19">
        <f t="shared" si="58"/>
        <v>0.405871861734344</v>
      </c>
      <c r="U133" s="18">
        <f t="shared" si="59"/>
        <v>19.79262977147225</v>
      </c>
      <c r="V133" s="19">
        <f t="shared" si="60"/>
        <v>0.3732932910832468</v>
      </c>
      <c r="W133" s="18">
        <f t="shared" si="61"/>
        <v>19.920284967663253</v>
      </c>
      <c r="X133" s="19">
        <f t="shared" si="62"/>
        <v>0.3407147204321499</v>
      </c>
      <c r="Y133" s="18">
        <f t="shared" si="63"/>
        <v>20.047940163854253</v>
      </c>
      <c r="Z133" s="19">
        <f t="shared" si="64"/>
        <v>0.30813614978105275</v>
      </c>
      <c r="AA133" s="18">
        <f t="shared" si="65"/>
        <v>20.175595360045257</v>
      </c>
      <c r="AB133" s="19">
        <f t="shared" si="66"/>
        <v>0.2755575791299556</v>
      </c>
      <c r="AC133" s="18">
        <f t="shared" si="67"/>
        <v>0</v>
      </c>
      <c r="AD133" s="19">
        <f t="shared" si="68"/>
        <v>0</v>
      </c>
      <c r="AE133" s="18">
        <f t="shared" si="69"/>
        <v>0</v>
      </c>
      <c r="AF133" s="19">
        <f t="shared" si="70"/>
        <v>0</v>
      </c>
      <c r="AG133" s="18">
        <f t="shared" si="71"/>
        <v>0</v>
      </c>
      <c r="AH133" s="19">
        <f t="shared" si="72"/>
        <v>0</v>
      </c>
      <c r="AI133" s="18">
        <f t="shared" si="73"/>
        <v>0</v>
      </c>
      <c r="AJ133" s="19">
        <f t="shared" si="74"/>
        <v>0</v>
      </c>
      <c r="AK133" s="18">
        <f t="shared" si="75"/>
        <v>0</v>
      </c>
      <c r="AL133" s="19">
        <f t="shared" si="76"/>
        <v>0</v>
      </c>
      <c r="AM133" s="18">
        <f t="shared" si="77"/>
        <v>0</v>
      </c>
      <c r="AN133" s="20">
        <f t="shared" si="78"/>
        <v>0</v>
      </c>
    </row>
    <row r="134" spans="10:40" ht="13.5" customHeight="1">
      <c r="J134" s="17">
        <v>30</v>
      </c>
      <c r="K134" s="73">
        <f>'NACA 4-Disit'!I50-'基本設計'!$N$49</f>
        <v>0.5509026959491394</v>
      </c>
      <c r="L134" s="74">
        <f>'NACA 4-Disit'!J50+0.0000001</f>
        <v>0.02901964451727936</v>
      </c>
      <c r="M134" s="18">
        <f t="shared" si="51"/>
        <v>17.683976553576777</v>
      </c>
      <c r="N134" s="19">
        <f t="shared" si="52"/>
        <v>0.7815305890046674</v>
      </c>
      <c r="O134" s="18">
        <f t="shared" si="53"/>
        <v>17.891284456715145</v>
      </c>
      <c r="P134" s="19">
        <f t="shared" si="54"/>
        <v>0.7350991577770204</v>
      </c>
      <c r="Q134" s="18">
        <f t="shared" si="55"/>
        <v>18.09859235985351</v>
      </c>
      <c r="R134" s="19">
        <f t="shared" si="56"/>
        <v>0.6886677265493734</v>
      </c>
      <c r="S134" s="18">
        <f t="shared" si="57"/>
        <v>18.305900262991877</v>
      </c>
      <c r="T134" s="19">
        <f t="shared" si="58"/>
        <v>0.6422362953217265</v>
      </c>
      <c r="U134" s="18">
        <f t="shared" si="59"/>
        <v>18.513208166130237</v>
      </c>
      <c r="V134" s="19">
        <f t="shared" si="60"/>
        <v>0.5958048640940795</v>
      </c>
      <c r="W134" s="18">
        <f t="shared" si="61"/>
        <v>18.720516069268605</v>
      </c>
      <c r="X134" s="19">
        <f t="shared" si="62"/>
        <v>0.5493734328664326</v>
      </c>
      <c r="Y134" s="18">
        <f t="shared" si="63"/>
        <v>18.92782397240697</v>
      </c>
      <c r="Z134" s="19">
        <f t="shared" si="64"/>
        <v>0.5029420016387856</v>
      </c>
      <c r="AA134" s="18">
        <f t="shared" si="65"/>
        <v>19.135131875545333</v>
      </c>
      <c r="AB134" s="19">
        <f t="shared" si="66"/>
        <v>0.4565105704111385</v>
      </c>
      <c r="AC134" s="18">
        <f t="shared" si="67"/>
        <v>0</v>
      </c>
      <c r="AD134" s="19">
        <f t="shared" si="68"/>
        <v>0</v>
      </c>
      <c r="AE134" s="18">
        <f t="shared" si="69"/>
        <v>0</v>
      </c>
      <c r="AF134" s="19">
        <f t="shared" si="70"/>
        <v>0</v>
      </c>
      <c r="AG134" s="18">
        <f t="shared" si="71"/>
        <v>0</v>
      </c>
      <c r="AH134" s="19">
        <f t="shared" si="72"/>
        <v>0</v>
      </c>
      <c r="AI134" s="18">
        <f t="shared" si="73"/>
        <v>0</v>
      </c>
      <c r="AJ134" s="19">
        <f t="shared" si="74"/>
        <v>0</v>
      </c>
      <c r="AK134" s="18">
        <f t="shared" si="75"/>
        <v>0</v>
      </c>
      <c r="AL134" s="19">
        <f t="shared" si="76"/>
        <v>0</v>
      </c>
      <c r="AM134" s="18">
        <f t="shared" si="77"/>
        <v>0</v>
      </c>
      <c r="AN134" s="20">
        <f t="shared" si="78"/>
        <v>0</v>
      </c>
    </row>
    <row r="135" spans="10:40" ht="13.5" customHeight="1">
      <c r="J135" s="17">
        <v>31</v>
      </c>
      <c r="K135" s="73">
        <f>'NACA 4-Disit'!I49-'基本設計'!$N$49</f>
        <v>0.5010649763812632</v>
      </c>
      <c r="L135" s="74">
        <f>'NACA 4-Disit'!J49+0.0000001</f>
        <v>0.03715213683368633</v>
      </c>
      <c r="M135" s="18">
        <f t="shared" si="51"/>
        <v>16.08418575544795</v>
      </c>
      <c r="N135" s="19">
        <f t="shared" si="52"/>
        <v>1.0425835923613314</v>
      </c>
      <c r="O135" s="18">
        <f t="shared" si="53"/>
        <v>16.37123400989492</v>
      </c>
      <c r="P135" s="19">
        <f t="shared" si="54"/>
        <v>0.9831401734274331</v>
      </c>
      <c r="Q135" s="18">
        <f t="shared" si="55"/>
        <v>16.658282264341885</v>
      </c>
      <c r="R135" s="19">
        <f t="shared" si="56"/>
        <v>0.9236967544935349</v>
      </c>
      <c r="S135" s="18">
        <f t="shared" si="57"/>
        <v>16.945330518788854</v>
      </c>
      <c r="T135" s="19">
        <f t="shared" si="58"/>
        <v>0.8642533355596368</v>
      </c>
      <c r="U135" s="18">
        <f t="shared" si="59"/>
        <v>17.23237877323582</v>
      </c>
      <c r="V135" s="19">
        <f t="shared" si="60"/>
        <v>0.8048099166257386</v>
      </c>
      <c r="W135" s="18">
        <f t="shared" si="61"/>
        <v>17.519427027682788</v>
      </c>
      <c r="X135" s="19">
        <f t="shared" si="62"/>
        <v>0.7453664976918406</v>
      </c>
      <c r="Y135" s="18">
        <f t="shared" si="63"/>
        <v>17.806475282129753</v>
      </c>
      <c r="Z135" s="19">
        <f t="shared" si="64"/>
        <v>0.6859230787579425</v>
      </c>
      <c r="AA135" s="18">
        <f t="shared" si="65"/>
        <v>18.093523536576722</v>
      </c>
      <c r="AB135" s="19">
        <f t="shared" si="66"/>
        <v>0.6264796598240442</v>
      </c>
      <c r="AC135" s="18">
        <f t="shared" si="67"/>
        <v>0</v>
      </c>
      <c r="AD135" s="19">
        <f t="shared" si="68"/>
        <v>0</v>
      </c>
      <c r="AE135" s="18">
        <f t="shared" si="69"/>
        <v>0</v>
      </c>
      <c r="AF135" s="19">
        <f t="shared" si="70"/>
        <v>0</v>
      </c>
      <c r="AG135" s="18">
        <f t="shared" si="71"/>
        <v>0</v>
      </c>
      <c r="AH135" s="19">
        <f t="shared" si="72"/>
        <v>0</v>
      </c>
      <c r="AI135" s="18">
        <f t="shared" si="73"/>
        <v>0</v>
      </c>
      <c r="AJ135" s="19">
        <f t="shared" si="74"/>
        <v>0</v>
      </c>
      <c r="AK135" s="18">
        <f t="shared" si="75"/>
        <v>0</v>
      </c>
      <c r="AL135" s="19">
        <f t="shared" si="76"/>
        <v>0</v>
      </c>
      <c r="AM135" s="18">
        <f t="shared" si="77"/>
        <v>0</v>
      </c>
      <c r="AN135" s="20">
        <f t="shared" si="78"/>
        <v>0</v>
      </c>
    </row>
    <row r="136" spans="10:40" ht="13.5" customHeight="1">
      <c r="J136" s="17">
        <v>32</v>
      </c>
      <c r="K136" s="73">
        <f>'NACA 4-Disit'!I48-'基本設計'!$N$49</f>
        <v>0.4511762739295837</v>
      </c>
      <c r="L136" s="74">
        <f>'NACA 4-Disit'!J48+0.0000001</f>
        <v>0.044768762042435344</v>
      </c>
      <c r="M136" s="18">
        <f t="shared" si="51"/>
        <v>14.48275840674904</v>
      </c>
      <c r="N136" s="19">
        <f t="shared" si="52"/>
        <v>1.2870772615621746</v>
      </c>
      <c r="O136" s="18">
        <f t="shared" si="53"/>
        <v>14.849628585118694</v>
      </c>
      <c r="P136" s="19">
        <f t="shared" si="54"/>
        <v>1.2154472422942781</v>
      </c>
      <c r="Q136" s="18">
        <f t="shared" si="55"/>
        <v>15.216498763488348</v>
      </c>
      <c r="R136" s="19">
        <f t="shared" si="56"/>
        <v>1.1438172230263814</v>
      </c>
      <c r="S136" s="18">
        <f t="shared" si="57"/>
        <v>15.583368941858003</v>
      </c>
      <c r="T136" s="19">
        <f t="shared" si="58"/>
        <v>1.072187203758485</v>
      </c>
      <c r="U136" s="18">
        <f t="shared" si="59"/>
        <v>15.950239120227657</v>
      </c>
      <c r="V136" s="19">
        <f t="shared" si="60"/>
        <v>1.0005571844905883</v>
      </c>
      <c r="W136" s="18">
        <f t="shared" si="61"/>
        <v>16.317109298597313</v>
      </c>
      <c r="X136" s="19">
        <f t="shared" si="62"/>
        <v>0.9289271652226919</v>
      </c>
      <c r="Y136" s="18">
        <f t="shared" si="63"/>
        <v>16.683979476966968</v>
      </c>
      <c r="Z136" s="19">
        <f t="shared" si="64"/>
        <v>0.8572971459547952</v>
      </c>
      <c r="AA136" s="18">
        <f t="shared" si="65"/>
        <v>17.05084965533662</v>
      </c>
      <c r="AB136" s="19">
        <f t="shared" si="66"/>
        <v>0.7856671266868986</v>
      </c>
      <c r="AC136" s="18">
        <f t="shared" si="67"/>
        <v>0</v>
      </c>
      <c r="AD136" s="19">
        <f t="shared" si="68"/>
        <v>0</v>
      </c>
      <c r="AE136" s="18">
        <f t="shared" si="69"/>
        <v>0</v>
      </c>
      <c r="AF136" s="19">
        <f t="shared" si="70"/>
        <v>0</v>
      </c>
      <c r="AG136" s="18">
        <f t="shared" si="71"/>
        <v>0</v>
      </c>
      <c r="AH136" s="19">
        <f t="shared" si="72"/>
        <v>0</v>
      </c>
      <c r="AI136" s="18">
        <f t="shared" si="73"/>
        <v>0</v>
      </c>
      <c r="AJ136" s="19">
        <f t="shared" si="74"/>
        <v>0</v>
      </c>
      <c r="AK136" s="18">
        <f t="shared" si="75"/>
        <v>0</v>
      </c>
      <c r="AL136" s="19">
        <f t="shared" si="76"/>
        <v>0</v>
      </c>
      <c r="AM136" s="18">
        <f t="shared" si="77"/>
        <v>0</v>
      </c>
      <c r="AN136" s="20">
        <f t="shared" si="78"/>
        <v>0</v>
      </c>
    </row>
    <row r="137" spans="10:40" ht="13.5" customHeight="1">
      <c r="J137" s="17">
        <v>33</v>
      </c>
      <c r="K137" s="73">
        <f>'NACA 4-Disit'!I47-'基本設計'!$N$49</f>
        <v>0.4012398259651384</v>
      </c>
      <c r="L137" s="74">
        <f>'NACA 4-Disit'!J47+0.0000001</f>
        <v>0.05186523088442877</v>
      </c>
      <c r="M137" s="18">
        <f t="shared" si="51"/>
        <v>12.879798427090346</v>
      </c>
      <c r="N137" s="19">
        <f t="shared" si="52"/>
        <v>1.5148739113901637</v>
      </c>
      <c r="O137" s="18">
        <f t="shared" si="53"/>
        <v>13.326566922203112</v>
      </c>
      <c r="P137" s="19">
        <f t="shared" si="54"/>
        <v>1.4318895419750777</v>
      </c>
      <c r="Q137" s="18">
        <f t="shared" si="55"/>
        <v>13.773335417315879</v>
      </c>
      <c r="R137" s="19">
        <f t="shared" si="56"/>
        <v>1.3489051725599914</v>
      </c>
      <c r="S137" s="18">
        <f t="shared" si="57"/>
        <v>14.220103912428646</v>
      </c>
      <c r="T137" s="19">
        <f t="shared" si="58"/>
        <v>1.2659208031449056</v>
      </c>
      <c r="U137" s="18">
        <f t="shared" si="59"/>
        <v>14.666872407541412</v>
      </c>
      <c r="V137" s="19">
        <f t="shared" si="60"/>
        <v>1.1829364337298194</v>
      </c>
      <c r="W137" s="18">
        <f t="shared" si="61"/>
        <v>15.11364090265418</v>
      </c>
      <c r="X137" s="19">
        <f t="shared" si="62"/>
        <v>1.0999520643147336</v>
      </c>
      <c r="Y137" s="18">
        <f t="shared" si="63"/>
        <v>15.560409397766946</v>
      </c>
      <c r="Z137" s="19">
        <f t="shared" si="64"/>
        <v>1.0169676948996476</v>
      </c>
      <c r="AA137" s="18">
        <f t="shared" si="65"/>
        <v>16.007177892879714</v>
      </c>
      <c r="AB137" s="19">
        <f t="shared" si="66"/>
        <v>0.9339833254845612</v>
      </c>
      <c r="AC137" s="18">
        <f t="shared" si="67"/>
        <v>0</v>
      </c>
      <c r="AD137" s="19">
        <f t="shared" si="68"/>
        <v>0</v>
      </c>
      <c r="AE137" s="18">
        <f t="shared" si="69"/>
        <v>0</v>
      </c>
      <c r="AF137" s="19">
        <f t="shared" si="70"/>
        <v>0</v>
      </c>
      <c r="AG137" s="18">
        <f t="shared" si="71"/>
        <v>0</v>
      </c>
      <c r="AH137" s="19">
        <f t="shared" si="72"/>
        <v>0</v>
      </c>
      <c r="AI137" s="18">
        <f t="shared" si="73"/>
        <v>0</v>
      </c>
      <c r="AJ137" s="19">
        <f t="shared" si="74"/>
        <v>0</v>
      </c>
      <c r="AK137" s="18">
        <f t="shared" si="75"/>
        <v>0</v>
      </c>
      <c r="AL137" s="19">
        <f t="shared" si="76"/>
        <v>0</v>
      </c>
      <c r="AM137" s="18">
        <f t="shared" si="77"/>
        <v>0</v>
      </c>
      <c r="AN137" s="20">
        <f t="shared" si="78"/>
        <v>0</v>
      </c>
    </row>
    <row r="138" spans="10:40" ht="13.5" customHeight="1">
      <c r="J138" s="17">
        <v>34</v>
      </c>
      <c r="K138" s="73">
        <f>'NACA 4-Disit'!I46-'基本設計'!$N$49</f>
        <v>0.35125864288076813</v>
      </c>
      <c r="L138" s="74">
        <f>'NACA 4-Disit'!J46+0.0000001</f>
        <v>0.058427277427311505</v>
      </c>
      <c r="M138" s="18">
        <f t="shared" si="51"/>
        <v>11.27540245008206</v>
      </c>
      <c r="N138" s="19">
        <f t="shared" si="52"/>
        <v>1.7255156054166996</v>
      </c>
      <c r="O138" s="18">
        <f t="shared" si="53"/>
        <v>11.802140838129818</v>
      </c>
      <c r="P138" s="19">
        <f t="shared" si="54"/>
        <v>1.632031961533001</v>
      </c>
      <c r="Q138" s="18">
        <f t="shared" si="55"/>
        <v>12.328879226177577</v>
      </c>
      <c r="R138" s="19">
        <f t="shared" si="56"/>
        <v>1.5385483176493024</v>
      </c>
      <c r="S138" s="18">
        <f t="shared" si="57"/>
        <v>12.855617614225338</v>
      </c>
      <c r="T138" s="19">
        <f t="shared" si="58"/>
        <v>1.4450646737656043</v>
      </c>
      <c r="U138" s="18">
        <f t="shared" si="59"/>
        <v>13.382356002273095</v>
      </c>
      <c r="V138" s="19">
        <f t="shared" si="60"/>
        <v>1.3515810298819058</v>
      </c>
      <c r="W138" s="18">
        <f t="shared" si="61"/>
        <v>13.909094390320856</v>
      </c>
      <c r="X138" s="19">
        <f t="shared" si="62"/>
        <v>1.2580973859982074</v>
      </c>
      <c r="Y138" s="18">
        <f t="shared" si="63"/>
        <v>14.435832778368615</v>
      </c>
      <c r="Z138" s="19">
        <f t="shared" si="64"/>
        <v>1.1646137421145089</v>
      </c>
      <c r="AA138" s="18">
        <f t="shared" si="65"/>
        <v>14.962571166416375</v>
      </c>
      <c r="AB138" s="19">
        <f t="shared" si="66"/>
        <v>1.0711300982308105</v>
      </c>
      <c r="AC138" s="18">
        <f t="shared" si="67"/>
        <v>0</v>
      </c>
      <c r="AD138" s="19">
        <f t="shared" si="68"/>
        <v>0</v>
      </c>
      <c r="AE138" s="18">
        <f t="shared" si="69"/>
        <v>0</v>
      </c>
      <c r="AF138" s="19">
        <f t="shared" si="70"/>
        <v>0</v>
      </c>
      <c r="AG138" s="18">
        <f t="shared" si="71"/>
        <v>0</v>
      </c>
      <c r="AH138" s="19">
        <f t="shared" si="72"/>
        <v>0</v>
      </c>
      <c r="AI138" s="18">
        <f t="shared" si="73"/>
        <v>0</v>
      </c>
      <c r="AJ138" s="19">
        <f t="shared" si="74"/>
        <v>0</v>
      </c>
      <c r="AK138" s="18">
        <f t="shared" si="75"/>
        <v>0</v>
      </c>
      <c r="AL138" s="19">
        <f t="shared" si="76"/>
        <v>0</v>
      </c>
      <c r="AM138" s="18">
        <f t="shared" si="77"/>
        <v>0</v>
      </c>
      <c r="AN138" s="20">
        <f t="shared" si="78"/>
        <v>0</v>
      </c>
    </row>
    <row r="139" spans="10:40" ht="13.5" customHeight="1">
      <c r="J139" s="17">
        <v>35</v>
      </c>
      <c r="K139" s="73">
        <f>'NACA 4-Disit'!I45-'基本設計'!$N$49</f>
        <v>0.3012355389231516</v>
      </c>
      <c r="L139" s="74">
        <f>'NACA 4-Disit'!J45+0.0000001</f>
        <v>0.064425656926064</v>
      </c>
      <c r="M139" s="18">
        <f t="shared" si="51"/>
        <v>9.669660813042569</v>
      </c>
      <c r="N139" s="19">
        <f t="shared" si="52"/>
        <v>1.9180635873266545</v>
      </c>
      <c r="O139" s="18">
        <f t="shared" si="53"/>
        <v>10.276436167422514</v>
      </c>
      <c r="P139" s="19">
        <f t="shared" si="54"/>
        <v>1.814982536244952</v>
      </c>
      <c r="Q139" s="18">
        <f t="shared" si="55"/>
        <v>10.88321152180246</v>
      </c>
      <c r="R139" s="19">
        <f t="shared" si="56"/>
        <v>1.7119014851632497</v>
      </c>
      <c r="S139" s="18">
        <f t="shared" si="57"/>
        <v>11.489986876182407</v>
      </c>
      <c r="T139" s="19">
        <f t="shared" si="58"/>
        <v>1.6088204340815473</v>
      </c>
      <c r="U139" s="18">
        <f t="shared" si="59"/>
        <v>12.096762230562351</v>
      </c>
      <c r="V139" s="19">
        <f t="shared" si="60"/>
        <v>1.5057393829998449</v>
      </c>
      <c r="W139" s="18">
        <f t="shared" si="61"/>
        <v>12.703537584942298</v>
      </c>
      <c r="X139" s="19">
        <f t="shared" si="62"/>
        <v>1.4026583319181427</v>
      </c>
      <c r="Y139" s="18">
        <f t="shared" si="63"/>
        <v>13.310312939322243</v>
      </c>
      <c r="Z139" s="19">
        <f t="shared" si="64"/>
        <v>1.29957728083644</v>
      </c>
      <c r="AA139" s="18">
        <f t="shared" si="65"/>
        <v>13.91708829370219</v>
      </c>
      <c r="AB139" s="19">
        <f t="shared" si="66"/>
        <v>1.1964962297547377</v>
      </c>
      <c r="AC139" s="18">
        <f t="shared" si="67"/>
        <v>0</v>
      </c>
      <c r="AD139" s="19">
        <f t="shared" si="68"/>
        <v>0</v>
      </c>
      <c r="AE139" s="18">
        <f t="shared" si="69"/>
        <v>0</v>
      </c>
      <c r="AF139" s="19">
        <f t="shared" si="70"/>
        <v>0</v>
      </c>
      <c r="AG139" s="18">
        <f t="shared" si="71"/>
        <v>0</v>
      </c>
      <c r="AH139" s="19">
        <f t="shared" si="72"/>
        <v>0</v>
      </c>
      <c r="AI139" s="18">
        <f t="shared" si="73"/>
        <v>0</v>
      </c>
      <c r="AJ139" s="19">
        <f t="shared" si="74"/>
        <v>0</v>
      </c>
      <c r="AK139" s="18">
        <f t="shared" si="75"/>
        <v>0</v>
      </c>
      <c r="AL139" s="19">
        <f t="shared" si="76"/>
        <v>0</v>
      </c>
      <c r="AM139" s="18">
        <f t="shared" si="77"/>
        <v>0</v>
      </c>
      <c r="AN139" s="20">
        <f t="shared" si="78"/>
        <v>0</v>
      </c>
    </row>
    <row r="140" spans="10:40" ht="13.5" customHeight="1">
      <c r="J140" s="17">
        <v>36</v>
      </c>
      <c r="K140" s="73">
        <f>'NACA 4-Disit'!I44-'基本設計'!$N$49</f>
        <v>0.2511733224080994</v>
      </c>
      <c r="L140" s="74">
        <f>'NACA 4-Disit'!J44+0.0000001</f>
        <v>0.06981414222739836</v>
      </c>
      <c r="M140" s="18">
        <f t="shared" si="51"/>
        <v>8.062663662909396</v>
      </c>
      <c r="N140" s="19">
        <f t="shared" si="52"/>
        <v>2.0910339654994874</v>
      </c>
      <c r="O140" s="18">
        <f t="shared" si="53"/>
        <v>8.749538563713424</v>
      </c>
      <c r="P140" s="19">
        <f t="shared" si="54"/>
        <v>1.9793313379356499</v>
      </c>
      <c r="Q140" s="18">
        <f t="shared" si="55"/>
        <v>9.436413464517452</v>
      </c>
      <c r="R140" s="19">
        <f t="shared" si="56"/>
        <v>1.8676287103718128</v>
      </c>
      <c r="S140" s="18">
        <f t="shared" si="57"/>
        <v>10.123288365321482</v>
      </c>
      <c r="T140" s="19">
        <f t="shared" si="58"/>
        <v>1.7559260828079755</v>
      </c>
      <c r="U140" s="18">
        <f t="shared" si="59"/>
        <v>10.81016326612551</v>
      </c>
      <c r="V140" s="19">
        <f t="shared" si="60"/>
        <v>1.644223455244138</v>
      </c>
      <c r="W140" s="18">
        <f t="shared" si="61"/>
        <v>11.497038166929542</v>
      </c>
      <c r="X140" s="19">
        <f t="shared" si="62"/>
        <v>1.5325208276803006</v>
      </c>
      <c r="Y140" s="18">
        <f t="shared" si="63"/>
        <v>12.18391306773357</v>
      </c>
      <c r="Z140" s="19">
        <f t="shared" si="64"/>
        <v>1.420818200116463</v>
      </c>
      <c r="AA140" s="18">
        <f t="shared" si="65"/>
        <v>12.870787968537599</v>
      </c>
      <c r="AB140" s="19">
        <f t="shared" si="66"/>
        <v>1.3091155725526258</v>
      </c>
      <c r="AC140" s="18">
        <f t="shared" si="67"/>
        <v>0</v>
      </c>
      <c r="AD140" s="19">
        <f t="shared" si="68"/>
        <v>0</v>
      </c>
      <c r="AE140" s="18">
        <f t="shared" si="69"/>
        <v>0</v>
      </c>
      <c r="AF140" s="19">
        <f t="shared" si="70"/>
        <v>0</v>
      </c>
      <c r="AG140" s="18">
        <f t="shared" si="71"/>
        <v>0</v>
      </c>
      <c r="AH140" s="19">
        <f t="shared" si="72"/>
        <v>0</v>
      </c>
      <c r="AI140" s="18">
        <f t="shared" si="73"/>
        <v>0</v>
      </c>
      <c r="AJ140" s="19">
        <f t="shared" si="74"/>
        <v>0</v>
      </c>
      <c r="AK140" s="18">
        <f t="shared" si="75"/>
        <v>0</v>
      </c>
      <c r="AL140" s="19">
        <f t="shared" si="76"/>
        <v>0</v>
      </c>
      <c r="AM140" s="18">
        <f t="shared" si="77"/>
        <v>0</v>
      </c>
      <c r="AN140" s="20">
        <f t="shared" si="78"/>
        <v>0</v>
      </c>
    </row>
    <row r="141" spans="10:40" ht="13.5" customHeight="1">
      <c r="J141" s="17">
        <v>37</v>
      </c>
      <c r="K141" s="73">
        <f>'NACA 4-Disit'!I43-'基本設計'!$N$49</f>
        <v>0.20107513601027904</v>
      </c>
      <c r="L141" s="74">
        <f>'NACA 4-Disit'!J43+0.0000001</f>
        <v>0.0745335205482151</v>
      </c>
      <c r="M141" s="18">
        <f t="shared" si="51"/>
        <v>6.45451187953936</v>
      </c>
      <c r="N141" s="19">
        <f t="shared" si="52"/>
        <v>2.242526009597705</v>
      </c>
      <c r="O141" s="18">
        <f t="shared" si="53"/>
        <v>7.221543878579902</v>
      </c>
      <c r="P141" s="19">
        <f t="shared" si="54"/>
        <v>2.1232723767205606</v>
      </c>
      <c r="Q141" s="18">
        <f t="shared" si="55"/>
        <v>7.988575877620443</v>
      </c>
      <c r="R141" s="19">
        <f t="shared" si="56"/>
        <v>2.0040187438434165</v>
      </c>
      <c r="S141" s="18">
        <f t="shared" si="57"/>
        <v>8.755607876660985</v>
      </c>
      <c r="T141" s="19">
        <f t="shared" si="58"/>
        <v>1.8847651109662724</v>
      </c>
      <c r="U141" s="18">
        <f t="shared" si="59"/>
        <v>9.522639875701527</v>
      </c>
      <c r="V141" s="19">
        <f t="shared" si="60"/>
        <v>1.7655114780891281</v>
      </c>
      <c r="W141" s="18">
        <f t="shared" si="61"/>
        <v>10.28967187474207</v>
      </c>
      <c r="X141" s="19">
        <f t="shared" si="62"/>
        <v>1.6462578452119843</v>
      </c>
      <c r="Y141" s="18">
        <f t="shared" si="63"/>
        <v>11.05670387378261</v>
      </c>
      <c r="Z141" s="19">
        <f t="shared" si="64"/>
        <v>1.52700421233484</v>
      </c>
      <c r="AA141" s="18">
        <f t="shared" si="65"/>
        <v>11.823735872823153</v>
      </c>
      <c r="AB141" s="19">
        <f t="shared" si="66"/>
        <v>1.4077505794576957</v>
      </c>
      <c r="AC141" s="18">
        <f t="shared" si="67"/>
        <v>0</v>
      </c>
      <c r="AD141" s="19">
        <f t="shared" si="68"/>
        <v>0</v>
      </c>
      <c r="AE141" s="18">
        <f t="shared" si="69"/>
        <v>0</v>
      </c>
      <c r="AF141" s="19">
        <f t="shared" si="70"/>
        <v>0</v>
      </c>
      <c r="AG141" s="18">
        <f t="shared" si="71"/>
        <v>0</v>
      </c>
      <c r="AH141" s="19">
        <f t="shared" si="72"/>
        <v>0</v>
      </c>
      <c r="AI141" s="18">
        <f t="shared" si="73"/>
        <v>0</v>
      </c>
      <c r="AJ141" s="19">
        <f t="shared" si="74"/>
        <v>0</v>
      </c>
      <c r="AK141" s="18">
        <f t="shared" si="75"/>
        <v>0</v>
      </c>
      <c r="AL141" s="19">
        <f t="shared" si="76"/>
        <v>0</v>
      </c>
      <c r="AM141" s="18">
        <f t="shared" si="77"/>
        <v>0</v>
      </c>
      <c r="AN141" s="20">
        <f t="shared" si="78"/>
        <v>0</v>
      </c>
    </row>
    <row r="142" spans="10:40" ht="13.5" customHeight="1">
      <c r="J142" s="17">
        <v>38</v>
      </c>
      <c r="K142" s="73">
        <f>'NACA 4-Disit'!I42-'基本設計'!$N$49</f>
        <v>0.1509445034489988</v>
      </c>
      <c r="L142" s="74">
        <f>'NACA 4-Disit'!J42+0.0000001</f>
        <v>0.07850159573592175</v>
      </c>
      <c r="M142" s="18">
        <f t="shared" si="51"/>
        <v>4.845318574322264</v>
      </c>
      <c r="N142" s="19">
        <f t="shared" si="52"/>
        <v>2.3699012231230885</v>
      </c>
      <c r="O142" s="18">
        <f t="shared" si="53"/>
        <v>5.692559585460854</v>
      </c>
      <c r="P142" s="19">
        <f t="shared" si="54"/>
        <v>2.2442986699456133</v>
      </c>
      <c r="Q142" s="18">
        <f t="shared" si="55"/>
        <v>6.539800596599445</v>
      </c>
      <c r="R142" s="19">
        <f t="shared" si="56"/>
        <v>2.1186961167681386</v>
      </c>
      <c r="S142" s="18">
        <f t="shared" si="57"/>
        <v>7.387041607738035</v>
      </c>
      <c r="T142" s="19">
        <f t="shared" si="58"/>
        <v>1.993093563590664</v>
      </c>
      <c r="U142" s="18">
        <f t="shared" si="59"/>
        <v>8.234282618876625</v>
      </c>
      <c r="V142" s="19">
        <f t="shared" si="60"/>
        <v>1.8674910104131888</v>
      </c>
      <c r="W142" s="18">
        <f t="shared" si="61"/>
        <v>9.081523630015216</v>
      </c>
      <c r="X142" s="19">
        <f t="shared" si="62"/>
        <v>1.7418884572357143</v>
      </c>
      <c r="Y142" s="18">
        <f t="shared" si="63"/>
        <v>9.928764641153805</v>
      </c>
      <c r="Z142" s="19">
        <f t="shared" si="64"/>
        <v>1.6162859040582394</v>
      </c>
      <c r="AA142" s="18">
        <f t="shared" si="65"/>
        <v>10.776005652292396</v>
      </c>
      <c r="AB142" s="19">
        <f t="shared" si="66"/>
        <v>1.4906833508807644</v>
      </c>
      <c r="AC142" s="18">
        <f t="shared" si="67"/>
        <v>0</v>
      </c>
      <c r="AD142" s="19">
        <f t="shared" si="68"/>
        <v>0</v>
      </c>
      <c r="AE142" s="18">
        <f t="shared" si="69"/>
        <v>0</v>
      </c>
      <c r="AF142" s="19">
        <f t="shared" si="70"/>
        <v>0</v>
      </c>
      <c r="AG142" s="18">
        <f t="shared" si="71"/>
        <v>0</v>
      </c>
      <c r="AH142" s="19">
        <f t="shared" si="72"/>
        <v>0</v>
      </c>
      <c r="AI142" s="18">
        <f t="shared" si="73"/>
        <v>0</v>
      </c>
      <c r="AJ142" s="19">
        <f t="shared" si="74"/>
        <v>0</v>
      </c>
      <c r="AK142" s="18">
        <f t="shared" si="75"/>
        <v>0</v>
      </c>
      <c r="AL142" s="19">
        <f t="shared" si="76"/>
        <v>0</v>
      </c>
      <c r="AM142" s="18">
        <f t="shared" si="77"/>
        <v>0</v>
      </c>
      <c r="AN142" s="20">
        <f t="shared" si="78"/>
        <v>0</v>
      </c>
    </row>
    <row r="143" spans="10:40" ht="13.5" customHeight="1">
      <c r="J143" s="17">
        <v>39</v>
      </c>
      <c r="K143" s="73">
        <f>'NACA 4-Disit'!I41-'基本設計'!$N$49</f>
        <v>0.10078570111168605</v>
      </c>
      <c r="L143" s="74">
        <f>'NACA 4-Disit'!J41+0.0000001</f>
        <v>0.08161418893488295</v>
      </c>
      <c r="M143" s="18">
        <f t="shared" si="51"/>
        <v>3.2352210192945248</v>
      </c>
      <c r="N143" s="19">
        <f t="shared" si="52"/>
        <v>2.469815464809743</v>
      </c>
      <c r="O143" s="18">
        <f t="shared" si="53"/>
        <v>4.162716114172816</v>
      </c>
      <c r="P143" s="19">
        <f t="shared" si="54"/>
        <v>2.33923276251393</v>
      </c>
      <c r="Q143" s="18">
        <f t="shared" si="55"/>
        <v>5.090211209051106</v>
      </c>
      <c r="R143" s="19">
        <f t="shared" si="56"/>
        <v>2.208650060218117</v>
      </c>
      <c r="S143" s="18">
        <f t="shared" si="57"/>
        <v>6.017706303929398</v>
      </c>
      <c r="T143" s="19">
        <f t="shared" si="58"/>
        <v>2.0780673579223046</v>
      </c>
      <c r="U143" s="18">
        <f t="shared" si="59"/>
        <v>6.945201398807687</v>
      </c>
      <c r="V143" s="19">
        <f t="shared" si="60"/>
        <v>1.947484655626492</v>
      </c>
      <c r="W143" s="18">
        <f t="shared" si="61"/>
        <v>7.872696493685979</v>
      </c>
      <c r="X143" s="19">
        <f t="shared" si="62"/>
        <v>1.8169019533306794</v>
      </c>
      <c r="Y143" s="18">
        <f t="shared" si="63"/>
        <v>8.800191588564267</v>
      </c>
      <c r="Z143" s="19">
        <f t="shared" si="64"/>
        <v>1.6863192510348666</v>
      </c>
      <c r="AA143" s="18">
        <f t="shared" si="65"/>
        <v>9.72768668344256</v>
      </c>
      <c r="AB143" s="19">
        <f t="shared" si="66"/>
        <v>1.5557365487390538</v>
      </c>
      <c r="AC143" s="18">
        <f t="shared" si="67"/>
        <v>0</v>
      </c>
      <c r="AD143" s="19">
        <f t="shared" si="68"/>
        <v>0</v>
      </c>
      <c r="AE143" s="18">
        <f t="shared" si="69"/>
        <v>0</v>
      </c>
      <c r="AF143" s="19">
        <f t="shared" si="70"/>
        <v>0</v>
      </c>
      <c r="AG143" s="18">
        <f t="shared" si="71"/>
        <v>0</v>
      </c>
      <c r="AH143" s="19">
        <f t="shared" si="72"/>
        <v>0</v>
      </c>
      <c r="AI143" s="18">
        <f t="shared" si="73"/>
        <v>0</v>
      </c>
      <c r="AJ143" s="19">
        <f t="shared" si="74"/>
        <v>0</v>
      </c>
      <c r="AK143" s="18">
        <f t="shared" si="75"/>
        <v>0</v>
      </c>
      <c r="AL143" s="19">
        <f t="shared" si="76"/>
        <v>0</v>
      </c>
      <c r="AM143" s="18">
        <f t="shared" si="77"/>
        <v>0</v>
      </c>
      <c r="AN143" s="20">
        <f t="shared" si="78"/>
        <v>0</v>
      </c>
    </row>
    <row r="144" spans="10:40" ht="13.5" customHeight="1">
      <c r="J144" s="17">
        <v>40</v>
      </c>
      <c r="K144" s="73">
        <f>'NACA 4-Disit'!I40-'基本設計'!$N$49</f>
        <v>0.05060405470081619</v>
      </c>
      <c r="L144" s="74">
        <f>'NACA 4-Disit'!J40+0.0000001</f>
        <v>0.0837401430870632</v>
      </c>
      <c r="M144" s="18">
        <f t="shared" si="51"/>
        <v>1.6243901695056027</v>
      </c>
      <c r="N144" s="19">
        <f t="shared" si="52"/>
        <v>2.5380585930947293</v>
      </c>
      <c r="O144" s="18">
        <f t="shared" si="53"/>
        <v>2.632175898641285</v>
      </c>
      <c r="P144" s="19">
        <f t="shared" si="54"/>
        <v>2.404074364155428</v>
      </c>
      <c r="Q144" s="18">
        <f t="shared" si="55"/>
        <v>3.6399616277769673</v>
      </c>
      <c r="R144" s="19">
        <f t="shared" si="56"/>
        <v>2.2700901352161265</v>
      </c>
      <c r="S144" s="18">
        <f t="shared" si="57"/>
        <v>4.6477473569126495</v>
      </c>
      <c r="T144" s="19">
        <f t="shared" si="58"/>
        <v>2.1361059062768257</v>
      </c>
      <c r="U144" s="18">
        <f t="shared" si="59"/>
        <v>5.655533086048331</v>
      </c>
      <c r="V144" s="19">
        <f t="shared" si="60"/>
        <v>2.0021216773375246</v>
      </c>
      <c r="W144" s="18">
        <f t="shared" si="61"/>
        <v>6.663318815184015</v>
      </c>
      <c r="X144" s="19">
        <f t="shared" si="62"/>
        <v>1.8681374483982234</v>
      </c>
      <c r="Y144" s="18">
        <f t="shared" si="63"/>
        <v>7.671104544319697</v>
      </c>
      <c r="Z144" s="19">
        <f t="shared" si="64"/>
        <v>1.7341532194589222</v>
      </c>
      <c r="AA144" s="18">
        <f t="shared" si="65"/>
        <v>8.67889027345538</v>
      </c>
      <c r="AB144" s="19">
        <f t="shared" si="66"/>
        <v>1.600168990519621</v>
      </c>
      <c r="AC144" s="18">
        <f t="shared" si="67"/>
        <v>0</v>
      </c>
      <c r="AD144" s="19">
        <f t="shared" si="68"/>
        <v>0</v>
      </c>
      <c r="AE144" s="18">
        <f t="shared" si="69"/>
        <v>0</v>
      </c>
      <c r="AF144" s="19">
        <f t="shared" si="70"/>
        <v>0</v>
      </c>
      <c r="AG144" s="18">
        <f t="shared" si="71"/>
        <v>0</v>
      </c>
      <c r="AH144" s="19">
        <f t="shared" si="72"/>
        <v>0</v>
      </c>
      <c r="AI144" s="18">
        <f t="shared" si="73"/>
        <v>0</v>
      </c>
      <c r="AJ144" s="19">
        <f t="shared" si="74"/>
        <v>0</v>
      </c>
      <c r="AK144" s="18">
        <f t="shared" si="75"/>
        <v>0</v>
      </c>
      <c r="AL144" s="19">
        <f t="shared" si="76"/>
        <v>0</v>
      </c>
      <c r="AM144" s="18">
        <f t="shared" si="77"/>
        <v>0</v>
      </c>
      <c r="AN144" s="20">
        <f t="shared" si="78"/>
        <v>0</v>
      </c>
    </row>
    <row r="145" spans="10:40" ht="13.5" customHeight="1">
      <c r="J145" s="21">
        <v>41</v>
      </c>
      <c r="K145" s="73">
        <f>'NACA 4-Disit'!I39-'基本設計'!$N$49</f>
        <v>0.00040627956297667467</v>
      </c>
      <c r="L145" s="74">
        <f>'NACA 4-Disit'!J39+0.0000001</f>
        <v>0.08470833007626717</v>
      </c>
      <c r="M145" s="22">
        <f t="shared" si="51"/>
        <v>0.013041587580953966</v>
      </c>
      <c r="N145" s="23">
        <f t="shared" si="52"/>
        <v>2.5691373954481764</v>
      </c>
      <c r="O145" s="22">
        <f t="shared" si="53"/>
        <v>1.1011437569371796</v>
      </c>
      <c r="P145" s="23">
        <f t="shared" si="54"/>
        <v>2.433604067326149</v>
      </c>
      <c r="Q145" s="22">
        <f t="shared" si="55"/>
        <v>2.189245926293405</v>
      </c>
      <c r="R145" s="23">
        <f t="shared" si="56"/>
        <v>2.298070739204121</v>
      </c>
      <c r="S145" s="22">
        <f t="shared" si="57"/>
        <v>3.2773480956496313</v>
      </c>
      <c r="T145" s="23">
        <f t="shared" si="58"/>
        <v>2.162537411082094</v>
      </c>
      <c r="U145" s="22">
        <f t="shared" si="59"/>
        <v>4.365450265005856</v>
      </c>
      <c r="V145" s="23">
        <f t="shared" si="60"/>
        <v>2.027004082960066</v>
      </c>
      <c r="W145" s="22">
        <f t="shared" si="61"/>
        <v>5.4535524343620825</v>
      </c>
      <c r="X145" s="23">
        <f t="shared" si="62"/>
        <v>1.8914707548380392</v>
      </c>
      <c r="Y145" s="22">
        <f t="shared" si="63"/>
        <v>6.541654603718308</v>
      </c>
      <c r="Z145" s="23">
        <f t="shared" si="64"/>
        <v>1.7559374267160115</v>
      </c>
      <c r="AA145" s="22">
        <f t="shared" si="65"/>
        <v>7.629756773074534</v>
      </c>
      <c r="AB145" s="23">
        <f t="shared" si="66"/>
        <v>1.6204040985939838</v>
      </c>
      <c r="AC145" s="22">
        <f t="shared" si="67"/>
        <v>0</v>
      </c>
      <c r="AD145" s="23">
        <f t="shared" si="68"/>
        <v>0</v>
      </c>
      <c r="AE145" s="22">
        <f t="shared" si="69"/>
        <v>0</v>
      </c>
      <c r="AF145" s="23">
        <f t="shared" si="70"/>
        <v>0</v>
      </c>
      <c r="AG145" s="22">
        <f t="shared" si="71"/>
        <v>0</v>
      </c>
      <c r="AH145" s="23">
        <f t="shared" si="72"/>
        <v>0</v>
      </c>
      <c r="AI145" s="22">
        <f t="shared" si="73"/>
        <v>0</v>
      </c>
      <c r="AJ145" s="23">
        <f t="shared" si="74"/>
        <v>0</v>
      </c>
      <c r="AK145" s="22">
        <f t="shared" si="75"/>
        <v>0</v>
      </c>
      <c r="AL145" s="23">
        <f t="shared" si="76"/>
        <v>0</v>
      </c>
      <c r="AM145" s="22">
        <f t="shared" si="77"/>
        <v>0</v>
      </c>
      <c r="AN145" s="24">
        <f t="shared" si="78"/>
        <v>0</v>
      </c>
    </row>
    <row r="146" spans="10:40" ht="13.5" customHeight="1">
      <c r="J146" s="17">
        <v>42</v>
      </c>
      <c r="K146" s="73">
        <f>'NACA 4-Disit'!I38-'基本設計'!$N$49</f>
        <v>-0.049798957232140006</v>
      </c>
      <c r="L146" s="74">
        <f>'NACA 4-Disit'!J38+0.0000001</f>
        <v>0.08428766071519252</v>
      </c>
      <c r="M146" s="18">
        <f t="shared" si="51"/>
        <v>-1.5985465135422916</v>
      </c>
      <c r="N146" s="19">
        <f t="shared" si="52"/>
        <v>2.55563390895768</v>
      </c>
      <c r="O146" s="18">
        <f t="shared" si="53"/>
        <v>-0.4301159653138791</v>
      </c>
      <c r="P146" s="19">
        <f t="shared" si="54"/>
        <v>2.420773651813372</v>
      </c>
      <c r="Q146" s="18">
        <f t="shared" si="55"/>
        <v>0.7383145829145334</v>
      </c>
      <c r="R146" s="19">
        <f t="shared" si="56"/>
        <v>2.2859133946690635</v>
      </c>
      <c r="S146" s="18">
        <f t="shared" si="57"/>
        <v>1.9067451311429455</v>
      </c>
      <c r="T146" s="19">
        <f t="shared" si="58"/>
        <v>2.1510531375247557</v>
      </c>
      <c r="U146" s="18">
        <f t="shared" si="59"/>
        <v>3.0751756793713576</v>
      </c>
      <c r="V146" s="19">
        <f t="shared" si="60"/>
        <v>2.016192880380448</v>
      </c>
      <c r="W146" s="18">
        <f t="shared" si="61"/>
        <v>4.24360622759977</v>
      </c>
      <c r="X146" s="19">
        <f t="shared" si="62"/>
        <v>1.88133262323614</v>
      </c>
      <c r="Y146" s="18">
        <f t="shared" si="63"/>
        <v>5.412036775828183</v>
      </c>
      <c r="Z146" s="19">
        <f t="shared" si="64"/>
        <v>1.7464723660918318</v>
      </c>
      <c r="AA146" s="18">
        <f t="shared" si="65"/>
        <v>6.580467324056595</v>
      </c>
      <c r="AB146" s="19">
        <f t="shared" si="66"/>
        <v>1.6116121089475235</v>
      </c>
      <c r="AC146" s="18">
        <f t="shared" si="67"/>
        <v>0</v>
      </c>
      <c r="AD146" s="19">
        <f t="shared" si="68"/>
        <v>0</v>
      </c>
      <c r="AE146" s="18">
        <f t="shared" si="69"/>
        <v>0</v>
      </c>
      <c r="AF146" s="19">
        <f t="shared" si="70"/>
        <v>0</v>
      </c>
      <c r="AG146" s="18">
        <f t="shared" si="71"/>
        <v>0</v>
      </c>
      <c r="AH146" s="19">
        <f t="shared" si="72"/>
        <v>0</v>
      </c>
      <c r="AI146" s="18">
        <f t="shared" si="73"/>
        <v>0</v>
      </c>
      <c r="AJ146" s="19">
        <f t="shared" si="74"/>
        <v>0</v>
      </c>
      <c r="AK146" s="18">
        <f t="shared" si="75"/>
        <v>0</v>
      </c>
      <c r="AL146" s="19">
        <f t="shared" si="76"/>
        <v>0</v>
      </c>
      <c r="AM146" s="18">
        <f t="shared" si="77"/>
        <v>0</v>
      </c>
      <c r="AN146" s="20">
        <f t="shared" si="78"/>
        <v>0</v>
      </c>
    </row>
    <row r="147" spans="10:40" ht="13.5" customHeight="1">
      <c r="J147" s="17">
        <v>43</v>
      </c>
      <c r="K147" s="73">
        <f>'NACA 4-Disit'!I37-'基本設計'!$N$49</f>
        <v>-0.10000009999999998</v>
      </c>
      <c r="L147" s="74">
        <f>'NACA 4-Disit'!J37+0.0000001</f>
        <v>0.0821591</v>
      </c>
      <c r="M147" s="18">
        <f t="shared" si="51"/>
        <v>-3.210003196390597</v>
      </c>
      <c r="N147" s="19">
        <f t="shared" si="52"/>
        <v>2.48730711</v>
      </c>
      <c r="O147" s="18">
        <f t="shared" si="53"/>
        <v>-1.9612508197336085</v>
      </c>
      <c r="P147" s="19">
        <f t="shared" si="54"/>
        <v>2.3558525500000003</v>
      </c>
      <c r="Q147" s="18">
        <f t="shared" si="55"/>
        <v>-0.7124984430766199</v>
      </c>
      <c r="R147" s="19">
        <f t="shared" si="56"/>
        <v>2.22439799</v>
      </c>
      <c r="S147" s="18">
        <f t="shared" si="57"/>
        <v>0.5362539335803684</v>
      </c>
      <c r="T147" s="19">
        <f t="shared" si="58"/>
        <v>2.09294343</v>
      </c>
      <c r="U147" s="18">
        <f t="shared" si="59"/>
        <v>1.7850063102373563</v>
      </c>
      <c r="V147" s="19">
        <f t="shared" si="60"/>
        <v>1.9614888700000002</v>
      </c>
      <c r="W147" s="18">
        <f t="shared" si="61"/>
        <v>3.0337586868943447</v>
      </c>
      <c r="X147" s="19">
        <f t="shared" si="62"/>
        <v>1.8300343100000003</v>
      </c>
      <c r="Y147" s="18">
        <f t="shared" si="63"/>
        <v>4.282511063551333</v>
      </c>
      <c r="Z147" s="19">
        <f t="shared" si="64"/>
        <v>1.6985797500000002</v>
      </c>
      <c r="AA147" s="18">
        <f t="shared" si="65"/>
        <v>5.531263440208321</v>
      </c>
      <c r="AB147" s="19">
        <f t="shared" si="66"/>
        <v>1.56712519</v>
      </c>
      <c r="AC147" s="18">
        <f t="shared" si="67"/>
        <v>0</v>
      </c>
      <c r="AD147" s="19">
        <f t="shared" si="68"/>
        <v>0</v>
      </c>
      <c r="AE147" s="18">
        <f t="shared" si="69"/>
        <v>0</v>
      </c>
      <c r="AF147" s="19">
        <f t="shared" si="70"/>
        <v>0</v>
      </c>
      <c r="AG147" s="18">
        <f t="shared" si="71"/>
        <v>0</v>
      </c>
      <c r="AH147" s="19">
        <f t="shared" si="72"/>
        <v>0</v>
      </c>
      <c r="AI147" s="18">
        <f t="shared" si="73"/>
        <v>0</v>
      </c>
      <c r="AJ147" s="19">
        <f t="shared" si="74"/>
        <v>0</v>
      </c>
      <c r="AK147" s="18">
        <f t="shared" si="75"/>
        <v>0</v>
      </c>
      <c r="AL147" s="19">
        <f t="shared" si="76"/>
        <v>0</v>
      </c>
      <c r="AM147" s="18">
        <f t="shared" si="77"/>
        <v>0</v>
      </c>
      <c r="AN147" s="20">
        <f t="shared" si="78"/>
        <v>0</v>
      </c>
    </row>
    <row r="148" spans="10:40" ht="13.5" customHeight="1">
      <c r="J148" s="17">
        <v>44</v>
      </c>
      <c r="K148" s="73">
        <f>'NACA 4-Disit'!I36-'基本設計'!$N$49</f>
        <v>-0.1528918875219869</v>
      </c>
      <c r="L148" s="74">
        <f>'NACA 4-Disit'!J36+0.0000001</f>
        <v>0.07658585043973823</v>
      </c>
      <c r="M148" s="18">
        <f t="shared" si="51"/>
        <v>-4.907829575846377</v>
      </c>
      <c r="N148" s="19">
        <f t="shared" si="52"/>
        <v>2.3084057991155973</v>
      </c>
      <c r="O148" s="18">
        <f t="shared" si="53"/>
        <v>-3.5744503391542093</v>
      </c>
      <c r="P148" s="19">
        <f t="shared" si="54"/>
        <v>2.185868438412016</v>
      </c>
      <c r="Q148" s="18">
        <f t="shared" si="55"/>
        <v>-2.2410711024620418</v>
      </c>
      <c r="R148" s="19">
        <f t="shared" si="56"/>
        <v>2.0633310777084346</v>
      </c>
      <c r="S148" s="18">
        <f t="shared" si="57"/>
        <v>-0.9076918657698752</v>
      </c>
      <c r="T148" s="19">
        <f t="shared" si="58"/>
        <v>1.940793717004854</v>
      </c>
      <c r="U148" s="18">
        <f t="shared" si="59"/>
        <v>0.42568737092229236</v>
      </c>
      <c r="V148" s="19">
        <f t="shared" si="60"/>
        <v>1.8182563563012726</v>
      </c>
      <c r="W148" s="18">
        <f t="shared" si="61"/>
        <v>1.7590666076144599</v>
      </c>
      <c r="X148" s="19">
        <f t="shared" si="62"/>
        <v>1.6957189955976915</v>
      </c>
      <c r="Y148" s="18">
        <f t="shared" si="63"/>
        <v>3.092445844306627</v>
      </c>
      <c r="Z148" s="19">
        <f t="shared" si="64"/>
        <v>1.5731816348941103</v>
      </c>
      <c r="AA148" s="18">
        <f t="shared" si="65"/>
        <v>4.425825080998795</v>
      </c>
      <c r="AB148" s="19">
        <f t="shared" si="66"/>
        <v>1.450644274190529</v>
      </c>
      <c r="AC148" s="18">
        <f t="shared" si="67"/>
        <v>0</v>
      </c>
      <c r="AD148" s="19">
        <f t="shared" si="68"/>
        <v>0</v>
      </c>
      <c r="AE148" s="18">
        <f t="shared" si="69"/>
        <v>0</v>
      </c>
      <c r="AF148" s="19">
        <f t="shared" si="70"/>
        <v>0</v>
      </c>
      <c r="AG148" s="18">
        <f t="shared" si="71"/>
        <v>0</v>
      </c>
      <c r="AH148" s="19">
        <f t="shared" si="72"/>
        <v>0</v>
      </c>
      <c r="AI148" s="18">
        <f t="shared" si="73"/>
        <v>0</v>
      </c>
      <c r="AJ148" s="19">
        <f t="shared" si="74"/>
        <v>0</v>
      </c>
      <c r="AK148" s="18">
        <f t="shared" si="75"/>
        <v>0</v>
      </c>
      <c r="AL148" s="19">
        <f t="shared" si="76"/>
        <v>0</v>
      </c>
      <c r="AM148" s="18">
        <f t="shared" si="77"/>
        <v>0</v>
      </c>
      <c r="AN148" s="20">
        <f t="shared" si="78"/>
        <v>0</v>
      </c>
    </row>
    <row r="149" spans="10:40" ht="13.5" customHeight="1">
      <c r="J149" s="17">
        <v>45</v>
      </c>
      <c r="K149" s="73">
        <f>'NACA 4-Disit'!I35-'基本設計'!$N$49</f>
        <v>-0.2050481226733733</v>
      </c>
      <c r="L149" s="74">
        <f>'NACA 4-Disit'!J35+0.0000001</f>
        <v>0.06548032673373316</v>
      </c>
      <c r="M149" s="18">
        <f t="shared" si="51"/>
        <v>-6.582044724205881</v>
      </c>
      <c r="N149" s="19">
        <f t="shared" si="52"/>
        <v>1.9519184881528346</v>
      </c>
      <c r="O149" s="18">
        <f t="shared" si="53"/>
        <v>-5.165215511271494</v>
      </c>
      <c r="P149" s="19">
        <f t="shared" si="54"/>
        <v>1.8471499653788617</v>
      </c>
      <c r="Q149" s="18">
        <f t="shared" si="55"/>
        <v>-3.7483862983371083</v>
      </c>
      <c r="R149" s="19">
        <f t="shared" si="56"/>
        <v>1.7423814426048885</v>
      </c>
      <c r="S149" s="18">
        <f t="shared" si="57"/>
        <v>-2.331557085402723</v>
      </c>
      <c r="T149" s="19">
        <f t="shared" si="58"/>
        <v>1.6376129198309155</v>
      </c>
      <c r="U149" s="18">
        <f t="shared" si="59"/>
        <v>-0.9147278724683376</v>
      </c>
      <c r="V149" s="19">
        <f t="shared" si="60"/>
        <v>1.5328443970569423</v>
      </c>
      <c r="W149" s="18">
        <f t="shared" si="61"/>
        <v>0.5021013404660479</v>
      </c>
      <c r="X149" s="19">
        <f t="shared" si="62"/>
        <v>1.4280758742829693</v>
      </c>
      <c r="Y149" s="18">
        <f t="shared" si="63"/>
        <v>1.9189305534004326</v>
      </c>
      <c r="Z149" s="19">
        <f t="shared" si="64"/>
        <v>1.3233073515089964</v>
      </c>
      <c r="AA149" s="18">
        <f t="shared" si="65"/>
        <v>3.335759766334819</v>
      </c>
      <c r="AB149" s="19">
        <f t="shared" si="66"/>
        <v>1.2185388287350232</v>
      </c>
      <c r="AC149" s="18">
        <f t="shared" si="67"/>
        <v>0</v>
      </c>
      <c r="AD149" s="19">
        <f t="shared" si="68"/>
        <v>0</v>
      </c>
      <c r="AE149" s="18">
        <f t="shared" si="69"/>
        <v>0</v>
      </c>
      <c r="AF149" s="19">
        <f t="shared" si="70"/>
        <v>0</v>
      </c>
      <c r="AG149" s="18">
        <f t="shared" si="71"/>
        <v>0</v>
      </c>
      <c r="AH149" s="19">
        <f t="shared" si="72"/>
        <v>0</v>
      </c>
      <c r="AI149" s="18">
        <f t="shared" si="73"/>
        <v>0</v>
      </c>
      <c r="AJ149" s="19">
        <f t="shared" si="74"/>
        <v>0</v>
      </c>
      <c r="AK149" s="18">
        <f t="shared" si="75"/>
        <v>0</v>
      </c>
      <c r="AL149" s="19">
        <f t="shared" si="76"/>
        <v>0</v>
      </c>
      <c r="AM149" s="18">
        <f t="shared" si="77"/>
        <v>0</v>
      </c>
      <c r="AN149" s="20">
        <f t="shared" si="78"/>
        <v>0</v>
      </c>
    </row>
    <row r="150" spans="10:40" ht="13.5" customHeight="1">
      <c r="J150" s="17">
        <v>46</v>
      </c>
      <c r="K150" s="73">
        <f>'NACA 4-Disit'!I34-'基本設計'!$N$49</f>
        <v>-0.23064368042380898</v>
      </c>
      <c r="L150" s="74">
        <f>'NACA 4-Disit'!J34+0.0000001</f>
        <v>0.05733624339047188</v>
      </c>
      <c r="M150" s="18">
        <f t="shared" si="51"/>
        <v>-7.403662127994866</v>
      </c>
      <c r="N150" s="19">
        <f t="shared" si="52"/>
        <v>1.6904934128341476</v>
      </c>
      <c r="O150" s="18">
        <f t="shared" si="53"/>
        <v>-5.945880022659782</v>
      </c>
      <c r="P150" s="19">
        <f t="shared" si="54"/>
        <v>1.5987554234093924</v>
      </c>
      <c r="Q150" s="18">
        <f t="shared" si="55"/>
        <v>-4.4880979173246995</v>
      </c>
      <c r="R150" s="19">
        <f t="shared" si="56"/>
        <v>1.5070174339846374</v>
      </c>
      <c r="S150" s="18">
        <f t="shared" si="57"/>
        <v>-3.0303158119896176</v>
      </c>
      <c r="T150" s="19">
        <f t="shared" si="58"/>
        <v>1.4152794445598824</v>
      </c>
      <c r="U150" s="18">
        <f t="shared" si="59"/>
        <v>-1.5725337066545348</v>
      </c>
      <c r="V150" s="19">
        <f t="shared" si="60"/>
        <v>1.3235414551351274</v>
      </c>
      <c r="W150" s="18">
        <f t="shared" si="61"/>
        <v>-0.11475160131945206</v>
      </c>
      <c r="X150" s="19">
        <f t="shared" si="62"/>
        <v>1.2318034657103725</v>
      </c>
      <c r="Y150" s="18">
        <f t="shared" si="63"/>
        <v>1.3430305040156298</v>
      </c>
      <c r="Z150" s="19">
        <f t="shared" si="64"/>
        <v>1.1400654762856173</v>
      </c>
      <c r="AA150" s="18">
        <f t="shared" si="65"/>
        <v>2.8008126093507135</v>
      </c>
      <c r="AB150" s="19">
        <f t="shared" si="66"/>
        <v>1.0483274868608623</v>
      </c>
      <c r="AC150" s="18">
        <f t="shared" si="67"/>
        <v>0</v>
      </c>
      <c r="AD150" s="19">
        <f t="shared" si="68"/>
        <v>0</v>
      </c>
      <c r="AE150" s="18">
        <f t="shared" si="69"/>
        <v>0</v>
      </c>
      <c r="AF150" s="19">
        <f t="shared" si="70"/>
        <v>0</v>
      </c>
      <c r="AG150" s="18">
        <f t="shared" si="71"/>
        <v>0</v>
      </c>
      <c r="AH150" s="19">
        <f t="shared" si="72"/>
        <v>0</v>
      </c>
      <c r="AI150" s="18">
        <f t="shared" si="73"/>
        <v>0</v>
      </c>
      <c r="AJ150" s="19">
        <f t="shared" si="74"/>
        <v>0</v>
      </c>
      <c r="AK150" s="18">
        <f t="shared" si="75"/>
        <v>0</v>
      </c>
      <c r="AL150" s="19">
        <f t="shared" si="76"/>
        <v>0</v>
      </c>
      <c r="AM150" s="18">
        <f t="shared" si="77"/>
        <v>0</v>
      </c>
      <c r="AN150" s="20">
        <f t="shared" si="78"/>
        <v>0</v>
      </c>
    </row>
    <row r="151" spans="10:40" ht="13.5" customHeight="1">
      <c r="J151" s="17">
        <v>47</v>
      </c>
      <c r="K151" s="73">
        <f>'NACA 4-Disit'!I33-'基本設計'!$N$49</f>
        <v>-0.2557126908423437</v>
      </c>
      <c r="L151" s="74">
        <f>'NACA 4-Disit'!J33+0.0000001</f>
        <v>0.04683403894895814</v>
      </c>
      <c r="M151" s="18">
        <f t="shared" si="51"/>
        <v>-8.20837736242983</v>
      </c>
      <c r="N151" s="19">
        <f t="shared" si="52"/>
        <v>1.3533726502615566</v>
      </c>
      <c r="O151" s="18">
        <f t="shared" si="53"/>
        <v>-6.710484840425092</v>
      </c>
      <c r="P151" s="19">
        <f t="shared" si="54"/>
        <v>1.2784381879432234</v>
      </c>
      <c r="Q151" s="18">
        <f t="shared" si="55"/>
        <v>-5.212592318420354</v>
      </c>
      <c r="R151" s="19">
        <f t="shared" si="56"/>
        <v>1.2035037256248904</v>
      </c>
      <c r="S151" s="18">
        <f t="shared" si="57"/>
        <v>-3.7146997964156157</v>
      </c>
      <c r="T151" s="19">
        <f t="shared" si="58"/>
        <v>1.1285692633065574</v>
      </c>
      <c r="U151" s="18">
        <f t="shared" si="59"/>
        <v>-2.2168072744108773</v>
      </c>
      <c r="V151" s="19">
        <f t="shared" si="60"/>
        <v>1.0536348009882244</v>
      </c>
      <c r="W151" s="18">
        <f t="shared" si="61"/>
        <v>-0.7189147524061399</v>
      </c>
      <c r="X151" s="19">
        <f t="shared" si="62"/>
        <v>0.9787003386698913</v>
      </c>
      <c r="Y151" s="18">
        <f t="shared" si="63"/>
        <v>0.7789777695985984</v>
      </c>
      <c r="Z151" s="19">
        <f t="shared" si="64"/>
        <v>0.9037658763515583</v>
      </c>
      <c r="AA151" s="18">
        <f t="shared" si="65"/>
        <v>2.2768702916033376</v>
      </c>
      <c r="AB151" s="19">
        <f t="shared" si="66"/>
        <v>0.8288314140332251</v>
      </c>
      <c r="AC151" s="18">
        <f t="shared" si="67"/>
        <v>0</v>
      </c>
      <c r="AD151" s="19">
        <f t="shared" si="68"/>
        <v>0</v>
      </c>
      <c r="AE151" s="18">
        <f t="shared" si="69"/>
        <v>0</v>
      </c>
      <c r="AF151" s="19">
        <f t="shared" si="70"/>
        <v>0</v>
      </c>
      <c r="AG151" s="18">
        <f t="shared" si="71"/>
        <v>0</v>
      </c>
      <c r="AH151" s="19">
        <f t="shared" si="72"/>
        <v>0</v>
      </c>
      <c r="AI151" s="18">
        <f t="shared" si="73"/>
        <v>0</v>
      </c>
      <c r="AJ151" s="19">
        <f t="shared" si="74"/>
        <v>0</v>
      </c>
      <c r="AK151" s="18">
        <f t="shared" si="75"/>
        <v>0</v>
      </c>
      <c r="AL151" s="19">
        <f t="shared" si="76"/>
        <v>0</v>
      </c>
      <c r="AM151" s="18">
        <f t="shared" si="77"/>
        <v>0</v>
      </c>
      <c r="AN151" s="20">
        <f t="shared" si="78"/>
        <v>0</v>
      </c>
    </row>
    <row r="152" spans="10:40" ht="13.5" customHeight="1">
      <c r="J152" s="17">
        <v>48</v>
      </c>
      <c r="K152" s="73">
        <f>'NACA 4-Disit'!I32-'基本設計'!$N$49</f>
        <v>-0.2798831176575459</v>
      </c>
      <c r="L152" s="74">
        <f>'NACA 4-Disit'!J32+0.0000001</f>
        <v>0.03259055804311964</v>
      </c>
      <c r="M152" s="18">
        <f t="shared" si="51"/>
        <v>-8.984248063197821</v>
      </c>
      <c r="N152" s="19">
        <f t="shared" si="52"/>
        <v>0.8961569131841404</v>
      </c>
      <c r="O152" s="18">
        <f t="shared" si="53"/>
        <v>-7.447682858288759</v>
      </c>
      <c r="P152" s="19">
        <f t="shared" si="54"/>
        <v>0.844012020315149</v>
      </c>
      <c r="Q152" s="18">
        <f t="shared" si="55"/>
        <v>-5.911117653379698</v>
      </c>
      <c r="R152" s="19">
        <f t="shared" si="56"/>
        <v>0.7918671274461575</v>
      </c>
      <c r="S152" s="18">
        <f t="shared" si="57"/>
        <v>-4.374552448470636</v>
      </c>
      <c r="T152" s="19">
        <f t="shared" si="58"/>
        <v>0.7397222345771661</v>
      </c>
      <c r="U152" s="18">
        <f t="shared" si="59"/>
        <v>-2.8379872435615745</v>
      </c>
      <c r="V152" s="19">
        <f t="shared" si="60"/>
        <v>0.6875773417081746</v>
      </c>
      <c r="W152" s="18">
        <f t="shared" si="61"/>
        <v>-1.3014220386525128</v>
      </c>
      <c r="X152" s="19">
        <f t="shared" si="62"/>
        <v>0.6354324488391833</v>
      </c>
      <c r="Y152" s="18">
        <f t="shared" si="63"/>
        <v>0.23514316625654885</v>
      </c>
      <c r="Z152" s="19">
        <f t="shared" si="64"/>
        <v>0.5832875559701919</v>
      </c>
      <c r="AA152" s="18">
        <f t="shared" si="65"/>
        <v>1.7717083711656114</v>
      </c>
      <c r="AB152" s="19">
        <f t="shared" si="66"/>
        <v>0.5311426631012004</v>
      </c>
      <c r="AC152" s="18">
        <f t="shared" si="67"/>
        <v>0</v>
      </c>
      <c r="AD152" s="19">
        <f t="shared" si="68"/>
        <v>0</v>
      </c>
      <c r="AE152" s="18">
        <f t="shared" si="69"/>
        <v>0</v>
      </c>
      <c r="AF152" s="19">
        <f t="shared" si="70"/>
        <v>0</v>
      </c>
      <c r="AG152" s="18">
        <f t="shared" si="71"/>
        <v>0</v>
      </c>
      <c r="AH152" s="19">
        <f t="shared" si="72"/>
        <v>0</v>
      </c>
      <c r="AI152" s="18">
        <f t="shared" si="73"/>
        <v>0</v>
      </c>
      <c r="AJ152" s="19">
        <f t="shared" si="74"/>
        <v>0</v>
      </c>
      <c r="AK152" s="18">
        <f t="shared" si="75"/>
        <v>0</v>
      </c>
      <c r="AL152" s="19">
        <f t="shared" si="76"/>
        <v>0</v>
      </c>
      <c r="AM152" s="18">
        <f t="shared" si="77"/>
        <v>0</v>
      </c>
      <c r="AN152" s="20">
        <f t="shared" si="78"/>
        <v>0</v>
      </c>
    </row>
    <row r="153" spans="10:40" ht="13.5" customHeight="1">
      <c r="J153" s="17">
        <v>49</v>
      </c>
      <c r="K153" s="73">
        <f>'NACA 4-Disit'!I31-'基本設計'!$N$49</f>
        <v>-0.2912813321621597</v>
      </c>
      <c r="L153" s="74">
        <f>'NACA 4-Disit'!J31+0.0000001</f>
        <v>0.022588546531518417</v>
      </c>
      <c r="M153" s="18">
        <f t="shared" si="51"/>
        <v>-9.350130748795923</v>
      </c>
      <c r="N153" s="19">
        <f t="shared" si="52"/>
        <v>0.5750923436617412</v>
      </c>
      <c r="O153" s="18">
        <f t="shared" si="53"/>
        <v>-7.795328400679479</v>
      </c>
      <c r="P153" s="19">
        <f t="shared" si="54"/>
        <v>0.5389506692113117</v>
      </c>
      <c r="Q153" s="18">
        <f t="shared" si="55"/>
        <v>-6.240526052563036</v>
      </c>
      <c r="R153" s="19">
        <f t="shared" si="56"/>
        <v>0.5028089947608823</v>
      </c>
      <c r="S153" s="18">
        <f t="shared" si="57"/>
        <v>-4.685723704446592</v>
      </c>
      <c r="T153" s="19">
        <f t="shared" si="58"/>
        <v>0.46666732031045277</v>
      </c>
      <c r="U153" s="18">
        <f t="shared" si="59"/>
        <v>-3.1309213563301475</v>
      </c>
      <c r="V153" s="19">
        <f t="shared" si="60"/>
        <v>0.4305256458600233</v>
      </c>
      <c r="W153" s="18">
        <f t="shared" si="61"/>
        <v>-1.5761190082137047</v>
      </c>
      <c r="X153" s="19">
        <f t="shared" si="62"/>
        <v>0.3943839714095939</v>
      </c>
      <c r="Y153" s="18">
        <f t="shared" si="63"/>
        <v>-0.021316660097260964</v>
      </c>
      <c r="Z153" s="19">
        <f t="shared" si="64"/>
        <v>0.3582422969591643</v>
      </c>
      <c r="AA153" s="18">
        <f t="shared" si="65"/>
        <v>1.5334856880191845</v>
      </c>
      <c r="AB153" s="19">
        <f t="shared" si="66"/>
        <v>0.32210062250873495</v>
      </c>
      <c r="AC153" s="18">
        <f t="shared" si="67"/>
        <v>0</v>
      </c>
      <c r="AD153" s="19">
        <f t="shared" si="68"/>
        <v>0</v>
      </c>
      <c r="AE153" s="18">
        <f t="shared" si="69"/>
        <v>0</v>
      </c>
      <c r="AF153" s="19">
        <f t="shared" si="70"/>
        <v>0</v>
      </c>
      <c r="AG153" s="18">
        <f t="shared" si="71"/>
        <v>0</v>
      </c>
      <c r="AH153" s="19">
        <f t="shared" si="72"/>
        <v>0</v>
      </c>
      <c r="AI153" s="18">
        <f t="shared" si="73"/>
        <v>0</v>
      </c>
      <c r="AJ153" s="19">
        <f t="shared" si="74"/>
        <v>0</v>
      </c>
      <c r="AK153" s="18">
        <f t="shared" si="75"/>
        <v>0</v>
      </c>
      <c r="AL153" s="19">
        <f t="shared" si="76"/>
        <v>0</v>
      </c>
      <c r="AM153" s="18">
        <f t="shared" si="77"/>
        <v>0</v>
      </c>
      <c r="AN153" s="20">
        <f t="shared" si="78"/>
        <v>0</v>
      </c>
    </row>
    <row r="154" spans="10:40" ht="13.5" customHeight="1">
      <c r="J154" s="17">
        <v>50</v>
      </c>
      <c r="K154" s="73">
        <f>'NACA 4-Disit'!I30-'基本設計'!$N$49</f>
        <v>-0.29655307417067983</v>
      </c>
      <c r="L154" s="74">
        <f>'NACA 4-Disit'!J30+0.0000001</f>
        <v>0.01569753221157346</v>
      </c>
      <c r="M154" s="18">
        <f t="shared" si="51"/>
        <v>-9.519353667269419</v>
      </c>
      <c r="N154" s="19">
        <f t="shared" si="52"/>
        <v>0.3538907839915081</v>
      </c>
      <c r="O154" s="18">
        <f t="shared" si="53"/>
        <v>-7.956116531939343</v>
      </c>
      <c r="P154" s="19">
        <f t="shared" si="54"/>
        <v>0.3287747324529905</v>
      </c>
      <c r="Q154" s="18">
        <f t="shared" si="55"/>
        <v>-6.392879396609267</v>
      </c>
      <c r="R154" s="19">
        <f t="shared" si="56"/>
        <v>0.303658680914473</v>
      </c>
      <c r="S154" s="18">
        <f t="shared" si="57"/>
        <v>-4.829642261279192</v>
      </c>
      <c r="T154" s="19">
        <f t="shared" si="58"/>
        <v>0.27854262937595553</v>
      </c>
      <c r="U154" s="18">
        <f t="shared" si="59"/>
        <v>-3.266405125949116</v>
      </c>
      <c r="V154" s="19">
        <f t="shared" si="60"/>
        <v>0.25342657783743794</v>
      </c>
      <c r="W154" s="18">
        <f t="shared" si="61"/>
        <v>-1.7031679906190398</v>
      </c>
      <c r="X154" s="19">
        <f t="shared" si="62"/>
        <v>0.22831052629892043</v>
      </c>
      <c r="Y154" s="18">
        <f t="shared" si="63"/>
        <v>-0.13993085528896376</v>
      </c>
      <c r="Z154" s="19">
        <f t="shared" si="64"/>
        <v>0.20319447476040284</v>
      </c>
      <c r="AA154" s="18">
        <f t="shared" si="65"/>
        <v>1.4233062800411131</v>
      </c>
      <c r="AB154" s="19">
        <f t="shared" si="66"/>
        <v>0.1780784232218853</v>
      </c>
      <c r="AC154" s="18">
        <f t="shared" si="67"/>
        <v>0</v>
      </c>
      <c r="AD154" s="19">
        <f t="shared" si="68"/>
        <v>0</v>
      </c>
      <c r="AE154" s="18">
        <f t="shared" si="69"/>
        <v>0</v>
      </c>
      <c r="AF154" s="19">
        <f t="shared" si="70"/>
        <v>0</v>
      </c>
      <c r="AG154" s="18">
        <f t="shared" si="71"/>
        <v>0</v>
      </c>
      <c r="AH154" s="19">
        <f t="shared" si="72"/>
        <v>0</v>
      </c>
      <c r="AI154" s="18">
        <f t="shared" si="73"/>
        <v>0</v>
      </c>
      <c r="AJ154" s="19">
        <f t="shared" si="74"/>
        <v>0</v>
      </c>
      <c r="AK154" s="18">
        <f t="shared" si="75"/>
        <v>0</v>
      </c>
      <c r="AL154" s="19">
        <f t="shared" si="76"/>
        <v>0</v>
      </c>
      <c r="AM154" s="18">
        <f t="shared" si="77"/>
        <v>0</v>
      </c>
      <c r="AN154" s="20">
        <f t="shared" si="78"/>
        <v>0</v>
      </c>
    </row>
    <row r="155" spans="10:40" ht="13.5" customHeight="1">
      <c r="J155" s="17">
        <v>51</v>
      </c>
      <c r="K155" s="73">
        <f>'NACA 4-Disit'!I29-'基本設計'!$N$49</f>
        <v>-0.29890914886720055</v>
      </c>
      <c r="L155" s="74">
        <f>'NACA 4-Disit'!J29+0.0000001</f>
        <v>0.01095189397328071</v>
      </c>
      <c r="M155" s="18">
        <f t="shared" si="51"/>
        <v>-9.594983665027735</v>
      </c>
      <c r="N155" s="19">
        <f t="shared" si="52"/>
        <v>0.20155579654231084</v>
      </c>
      <c r="O155" s="18">
        <f t="shared" si="53"/>
        <v>-8.027976810183226</v>
      </c>
      <c r="P155" s="19">
        <f t="shared" si="54"/>
        <v>0.18403276618506167</v>
      </c>
      <c r="Q155" s="18">
        <f t="shared" si="55"/>
        <v>-6.460969955338717</v>
      </c>
      <c r="R155" s="19">
        <f t="shared" si="56"/>
        <v>0.1665097358278125</v>
      </c>
      <c r="S155" s="18">
        <f t="shared" si="57"/>
        <v>-4.893963100494208</v>
      </c>
      <c r="T155" s="19">
        <f t="shared" si="58"/>
        <v>0.1489867054705634</v>
      </c>
      <c r="U155" s="18">
        <f t="shared" si="59"/>
        <v>-3.326956245649698</v>
      </c>
      <c r="V155" s="19">
        <f t="shared" si="60"/>
        <v>0.13146367511331428</v>
      </c>
      <c r="W155" s="18">
        <f t="shared" si="61"/>
        <v>-1.7599493908051889</v>
      </c>
      <c r="X155" s="19">
        <f t="shared" si="62"/>
        <v>0.11394064475606516</v>
      </c>
      <c r="Y155" s="18">
        <f t="shared" si="63"/>
        <v>-0.19294253596067978</v>
      </c>
      <c r="Z155" s="19">
        <f t="shared" si="64"/>
        <v>0.09641761439881599</v>
      </c>
      <c r="AA155" s="18">
        <f t="shared" si="65"/>
        <v>1.3740643188838302</v>
      </c>
      <c r="AB155" s="19">
        <f t="shared" si="66"/>
        <v>0.07889458404156682</v>
      </c>
      <c r="AC155" s="18">
        <f t="shared" si="67"/>
        <v>0</v>
      </c>
      <c r="AD155" s="19">
        <f t="shared" si="68"/>
        <v>0</v>
      </c>
      <c r="AE155" s="18">
        <f t="shared" si="69"/>
        <v>0</v>
      </c>
      <c r="AF155" s="19">
        <f t="shared" si="70"/>
        <v>0</v>
      </c>
      <c r="AG155" s="18">
        <f t="shared" si="71"/>
        <v>0</v>
      </c>
      <c r="AH155" s="19">
        <f t="shared" si="72"/>
        <v>0</v>
      </c>
      <c r="AI155" s="18">
        <f t="shared" si="73"/>
        <v>0</v>
      </c>
      <c r="AJ155" s="19">
        <f t="shared" si="74"/>
        <v>0</v>
      </c>
      <c r="AK155" s="18">
        <f t="shared" si="75"/>
        <v>0</v>
      </c>
      <c r="AL155" s="19">
        <f t="shared" si="76"/>
        <v>0</v>
      </c>
      <c r="AM155" s="18">
        <f t="shared" si="77"/>
        <v>0</v>
      </c>
      <c r="AN155" s="20">
        <f t="shared" si="78"/>
        <v>0</v>
      </c>
    </row>
    <row r="156" spans="10:40" ht="13.5" customHeight="1" thickBot="1">
      <c r="J156" s="29">
        <v>52</v>
      </c>
      <c r="K156" s="77">
        <f>'NACA 4-Disit'!I28-'基本設計'!$N$49</f>
        <v>-0.3000001</v>
      </c>
      <c r="L156" s="78">
        <f>'NACA 4-Disit'!J28+0.0000001</f>
        <v>1E-07</v>
      </c>
      <c r="M156" s="30">
        <f t="shared" si="51"/>
        <v>-9.630003196390597</v>
      </c>
      <c r="N156" s="31">
        <f t="shared" si="52"/>
        <v>1E-07</v>
      </c>
      <c r="O156" s="30">
        <f t="shared" si="53"/>
        <v>-8.06125081973361</v>
      </c>
      <c r="P156" s="31">
        <f t="shared" si="54"/>
        <v>1E-07</v>
      </c>
      <c r="Q156" s="30">
        <f t="shared" si="55"/>
        <v>-6.49249844307662</v>
      </c>
      <c r="R156" s="31">
        <f t="shared" si="56"/>
        <v>1E-07</v>
      </c>
      <c r="S156" s="30">
        <f t="shared" si="57"/>
        <v>-4.923746066419632</v>
      </c>
      <c r="T156" s="31">
        <f t="shared" si="58"/>
        <v>1E-07</v>
      </c>
      <c r="U156" s="30">
        <f t="shared" si="59"/>
        <v>-3.354993689762644</v>
      </c>
      <c r="V156" s="31">
        <f t="shared" si="60"/>
        <v>1E-07</v>
      </c>
      <c r="W156" s="30">
        <f t="shared" si="61"/>
        <v>-1.7862413131056556</v>
      </c>
      <c r="X156" s="31">
        <f t="shared" si="62"/>
        <v>1E-07</v>
      </c>
      <c r="Y156" s="30">
        <f t="shared" si="63"/>
        <v>-0.2174889364486674</v>
      </c>
      <c r="Z156" s="31">
        <f t="shared" si="64"/>
        <v>1E-07</v>
      </c>
      <c r="AA156" s="30">
        <f t="shared" si="65"/>
        <v>1.3512634402083217</v>
      </c>
      <c r="AB156" s="31">
        <f t="shared" si="66"/>
        <v>1E-07</v>
      </c>
      <c r="AC156" s="30">
        <f t="shared" si="67"/>
        <v>0</v>
      </c>
      <c r="AD156" s="31">
        <f t="shared" si="68"/>
        <v>0</v>
      </c>
      <c r="AE156" s="30">
        <f t="shared" si="69"/>
        <v>0</v>
      </c>
      <c r="AF156" s="31">
        <f t="shared" si="70"/>
        <v>0</v>
      </c>
      <c r="AG156" s="30">
        <f t="shared" si="71"/>
        <v>0</v>
      </c>
      <c r="AH156" s="31">
        <f t="shared" si="72"/>
        <v>0</v>
      </c>
      <c r="AI156" s="30">
        <f t="shared" si="73"/>
        <v>0</v>
      </c>
      <c r="AJ156" s="31">
        <f t="shared" si="74"/>
        <v>0</v>
      </c>
      <c r="AK156" s="30">
        <f t="shared" si="75"/>
        <v>0</v>
      </c>
      <c r="AL156" s="31">
        <f t="shared" si="76"/>
        <v>0</v>
      </c>
      <c r="AM156" s="30">
        <f t="shared" si="77"/>
        <v>0</v>
      </c>
      <c r="AN156" s="32">
        <f t="shared" si="78"/>
        <v>0</v>
      </c>
    </row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</sheetData>
  <sheetProtection password="C9DF" sheet="1" objects="1" scenarios="1"/>
  <mergeCells count="82">
    <mergeCell ref="C37:H38"/>
    <mergeCell ref="C39:H40"/>
    <mergeCell ref="C41:H42"/>
    <mergeCell ref="C47:H49"/>
    <mergeCell ref="C45:H46"/>
    <mergeCell ref="C43:H44"/>
    <mergeCell ref="C35:H36"/>
    <mergeCell ref="C25:F25"/>
    <mergeCell ref="C22:H22"/>
    <mergeCell ref="C31:H32"/>
    <mergeCell ref="C33:H34"/>
    <mergeCell ref="C29:H30"/>
    <mergeCell ref="B19:E19"/>
    <mergeCell ref="B20:E20"/>
    <mergeCell ref="C23:F23"/>
    <mergeCell ref="C24:F24"/>
    <mergeCell ref="B17:E17"/>
    <mergeCell ref="B7:E7"/>
    <mergeCell ref="B8:E8"/>
    <mergeCell ref="B9:E9"/>
    <mergeCell ref="B10:E10"/>
    <mergeCell ref="B13:E13"/>
    <mergeCell ref="B14:E14"/>
    <mergeCell ref="B15:E15"/>
    <mergeCell ref="B3:E3"/>
    <mergeCell ref="B4:E4"/>
    <mergeCell ref="B16:E16"/>
    <mergeCell ref="AJ46:AN47"/>
    <mergeCell ref="J46:P48"/>
    <mergeCell ref="Q46:R49"/>
    <mergeCell ref="S46:S49"/>
    <mergeCell ref="V46:V47"/>
    <mergeCell ref="U48:U49"/>
    <mergeCell ref="V48:V49"/>
    <mergeCell ref="Y48:Y49"/>
    <mergeCell ref="Z48:Z49"/>
    <mergeCell ref="AE46:AE47"/>
    <mergeCell ref="AF46:AF47"/>
    <mergeCell ref="AE48:AE49"/>
    <mergeCell ref="AF48:AF49"/>
    <mergeCell ref="AD46:AD49"/>
    <mergeCell ref="AA48:AA49"/>
    <mergeCell ref="AI48:AN49"/>
    <mergeCell ref="AA50:AB50"/>
    <mergeCell ref="AC50:AD50"/>
    <mergeCell ref="AE50:AF50"/>
    <mergeCell ref="AG46:AG49"/>
    <mergeCell ref="AC46:AC49"/>
    <mergeCell ref="AI46:AI47"/>
    <mergeCell ref="W50:X50"/>
    <mergeCell ref="Y50:Z50"/>
    <mergeCell ref="AM50:AN50"/>
    <mergeCell ref="AI50:AJ50"/>
    <mergeCell ref="AK50:AL50"/>
    <mergeCell ref="AG50:AH50"/>
    <mergeCell ref="S50:T50"/>
    <mergeCell ref="U50:V50"/>
    <mergeCell ref="J50:J52"/>
    <mergeCell ref="O50:P50"/>
    <mergeCell ref="Q50:R50"/>
    <mergeCell ref="K50:L50"/>
    <mergeCell ref="M50:N50"/>
    <mergeCell ref="U46:U47"/>
    <mergeCell ref="Y46:Y47"/>
    <mergeCell ref="AH46:AH49"/>
    <mergeCell ref="T46:T49"/>
    <mergeCell ref="W46:W47"/>
    <mergeCell ref="X46:X47"/>
    <mergeCell ref="AB46:AB47"/>
    <mergeCell ref="AB48:AB49"/>
    <mergeCell ref="Z46:Z47"/>
    <mergeCell ref="AA46:AA47"/>
    <mergeCell ref="G1:H1"/>
    <mergeCell ref="C27:H27"/>
    <mergeCell ref="C28:H28"/>
    <mergeCell ref="B5:E5"/>
    <mergeCell ref="B6:E6"/>
    <mergeCell ref="B18:E18"/>
    <mergeCell ref="C26:H26"/>
    <mergeCell ref="B11:E11"/>
    <mergeCell ref="B12:E12"/>
    <mergeCell ref="B2:E2"/>
  </mergeCells>
  <conditionalFormatting sqref="L105:L130 L53:L78">
    <cfRule type="cellIs" priority="1" dxfId="0" operator="equal" stopIfTrue="1">
      <formula>MAX($L$53:$L$78)</formula>
    </cfRule>
  </conditionalFormatting>
  <conditionalFormatting sqref="L131:L156 L79:L104">
    <cfRule type="cellIs" priority="2" dxfId="0" operator="equal" stopIfTrue="1">
      <formula>MIN($L$79:$L$104)</formula>
    </cfRule>
  </conditionalFormatting>
  <conditionalFormatting sqref="A18:A20">
    <cfRule type="cellIs" priority="3" dxfId="0" operator="greaterThanOrEqual" stopIfTrue="1">
      <formula>MAX($A$18:$A$27)</formula>
    </cfRule>
  </conditionalFormatting>
  <printOptions horizontalCentered="1"/>
  <pageMargins left="0.31496062992125984" right="0.15748031496062992" top="0.984251968503937" bottom="0.35" header="0.8267716535433072" footer="0.15748031496062992"/>
  <pageSetup fitToHeight="2" horizontalDpi="300" verticalDpi="300" orientation="landscape" paperSize="9" scale="67" r:id="rId3"/>
  <headerFooter alignWithMargins="0">
    <oddHeader>&amp;L&amp;D&amp;RP-&amp;P of &amp;N</oddHeader>
  </headerFooter>
  <rowBreaks count="1" manualBreakCount="1">
    <brk id="104" min="9" max="3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53"/>
  <sheetViews>
    <sheetView showGridLines="0" view="pageBreakPreview" zoomScaleSheetLayoutView="100" workbookViewId="0" topLeftCell="A1">
      <selection activeCell="A1" sqref="A1:A2"/>
    </sheetView>
  </sheetViews>
  <sheetFormatPr defaultColWidth="9.00390625" defaultRowHeight="12.75" outlineLevelCol="1"/>
  <cols>
    <col min="1" max="3" width="11.625" style="81" customWidth="1"/>
    <col min="4" max="6" width="11.625" style="81" hidden="1" customWidth="1" outlineLevel="1"/>
    <col min="7" max="7" width="11.625" style="81" customWidth="1" collapsed="1"/>
    <col min="8" max="8" width="11.125" style="81" customWidth="1"/>
    <col min="9" max="11" width="11.625" style="81" customWidth="1"/>
    <col min="12" max="12" width="13.00390625" style="81" customWidth="1"/>
    <col min="13" max="13" width="1.875" style="83" customWidth="1"/>
    <col min="14" max="16384" width="10.25390625" style="83" customWidth="1"/>
  </cols>
  <sheetData>
    <row r="1" spans="1:12" ht="15.75" customHeight="1">
      <c r="A1" s="346" t="s">
        <v>43</v>
      </c>
      <c r="B1" s="348" t="str">
        <f>ASC('基本設計'!H18)</f>
        <v>2213</v>
      </c>
      <c r="C1" s="229"/>
      <c r="G1" s="229"/>
      <c r="H1" s="229"/>
      <c r="I1" s="229"/>
      <c r="J1" s="82" t="s">
        <v>51</v>
      </c>
      <c r="K1" s="82" t="s">
        <v>52</v>
      </c>
      <c r="L1" s="82" t="s">
        <v>53</v>
      </c>
    </row>
    <row r="2" spans="1:12" ht="15.75" customHeight="1" thickBot="1">
      <c r="A2" s="347"/>
      <c r="B2" s="349"/>
      <c r="J2" s="84">
        <f>VALUE(LEFT(B1,1))/100</f>
        <v>0.02</v>
      </c>
      <c r="K2" s="84">
        <f>VALUE(MID(B1,2,1)/10)</f>
        <v>0.2</v>
      </c>
      <c r="L2" s="84">
        <f>VALUE(RIGHT(B1,2))/100</f>
        <v>0.13</v>
      </c>
    </row>
    <row r="19" ht="12.75"/>
    <row r="20" ht="12.75"/>
    <row r="21" ht="12.75"/>
    <row r="22" ht="12.75"/>
    <row r="23" ht="12.75"/>
    <row r="24" ht="6" customHeight="1"/>
    <row r="25" spans="2:12" ht="27" customHeight="1">
      <c r="B25" s="85" t="s">
        <v>44</v>
      </c>
      <c r="C25" s="86" t="s">
        <v>54</v>
      </c>
      <c r="E25" s="87"/>
      <c r="F25" s="87"/>
      <c r="G25" s="88">
        <f>Thickness!B28</f>
        <v>0.01862</v>
      </c>
      <c r="H25" s="86" t="s">
        <v>55</v>
      </c>
      <c r="I25" s="86" t="s">
        <v>56</v>
      </c>
      <c r="J25" s="89">
        <f>Thickness!B32</f>
        <v>0.024731</v>
      </c>
      <c r="K25" s="86" t="s">
        <v>57</v>
      </c>
      <c r="L25" s="90">
        <f>Thickness!C32</f>
        <v>-0.024731</v>
      </c>
    </row>
    <row r="26" ht="6" customHeight="1"/>
    <row r="27" spans="1:12" s="95" customFormat="1" ht="23.25">
      <c r="A27" s="91" t="s">
        <v>45</v>
      </c>
      <c r="B27" s="92" t="s">
        <v>58</v>
      </c>
      <c r="C27" s="93" t="s">
        <v>59</v>
      </c>
      <c r="D27" s="94" t="s">
        <v>46</v>
      </c>
      <c r="E27" s="92" t="s">
        <v>47</v>
      </c>
      <c r="F27" s="92" t="s">
        <v>48</v>
      </c>
      <c r="G27" s="92" t="s">
        <v>60</v>
      </c>
      <c r="H27" s="93" t="s">
        <v>61</v>
      </c>
      <c r="I27" s="94" t="s">
        <v>62</v>
      </c>
      <c r="J27" s="92" t="s">
        <v>63</v>
      </c>
      <c r="K27" s="92" t="s">
        <v>64</v>
      </c>
      <c r="L27" s="93" t="s">
        <v>65</v>
      </c>
    </row>
    <row r="28" spans="1:12" ht="15" customHeight="1">
      <c r="A28" s="102">
        <v>0</v>
      </c>
      <c r="B28" s="96">
        <f>Thickness!B33</f>
        <v>0</v>
      </c>
      <c r="C28" s="97">
        <f>'Mean-Line'!C24</f>
        <v>0</v>
      </c>
      <c r="D28" s="98">
        <f>'Mean-Line'!F24</f>
        <v>0.19739555984988072</v>
      </c>
      <c r="E28" s="99">
        <f aca="true" t="shared" si="0" ref="E28:E53">SIN(D28)</f>
        <v>0.196116135138184</v>
      </c>
      <c r="F28" s="99">
        <f aca="true" t="shared" si="1" ref="F28:F53">COS(D28)</f>
        <v>0.9805806756909202</v>
      </c>
      <c r="G28" s="100">
        <f aca="true" t="shared" si="2" ref="G28:G53">B28*E28</f>
        <v>0</v>
      </c>
      <c r="H28" s="101">
        <f aca="true" t="shared" si="3" ref="H28:H53">B28*F28</f>
        <v>0</v>
      </c>
      <c r="I28" s="102">
        <f aca="true" t="shared" si="4" ref="I28:I53">A28-G28</f>
        <v>0</v>
      </c>
      <c r="J28" s="96">
        <f aca="true" t="shared" si="5" ref="J28:J53">C28+H28</f>
        <v>0</v>
      </c>
      <c r="K28" s="96">
        <f aca="true" t="shared" si="6" ref="K28:K53">A28+G28</f>
        <v>0</v>
      </c>
      <c r="L28" s="97">
        <f aca="true" t="shared" si="7" ref="L28:L53">C28-H28</f>
        <v>0</v>
      </c>
    </row>
    <row r="29" spans="1:12" ht="15" customHeight="1">
      <c r="A29" s="109">
        <v>0.003125</v>
      </c>
      <c r="B29" s="103">
        <f>Thickness!B34</f>
        <v>0.01053</v>
      </c>
      <c r="C29" s="104">
        <f>'Mean-Line'!C25</f>
        <v>0.0006201171875</v>
      </c>
      <c r="D29" s="105">
        <f>'Mean-Line'!F25</f>
        <v>0.19438895435747947</v>
      </c>
      <c r="E29" s="106">
        <f t="shared" si="0"/>
        <v>0.19316703392218207</v>
      </c>
      <c r="F29" s="106">
        <f t="shared" si="1"/>
        <v>0.9811658865888615</v>
      </c>
      <c r="G29" s="107">
        <f t="shared" si="2"/>
        <v>0.002034048867200577</v>
      </c>
      <c r="H29" s="108">
        <f t="shared" si="3"/>
        <v>0.010331676785780711</v>
      </c>
      <c r="I29" s="109">
        <f t="shared" si="4"/>
        <v>0.001090951132799423</v>
      </c>
      <c r="J29" s="103">
        <f t="shared" si="5"/>
        <v>0.01095179397328071</v>
      </c>
      <c r="K29" s="103">
        <f t="shared" si="6"/>
        <v>0.005159048867200577</v>
      </c>
      <c r="L29" s="104">
        <f t="shared" si="7"/>
        <v>-0.009711559598280711</v>
      </c>
    </row>
    <row r="30" spans="1:12" ht="15" customHeight="1">
      <c r="A30" s="109">
        <v>0.00625</v>
      </c>
      <c r="B30" s="103">
        <f>Thickness!B35</f>
        <v>0.014736</v>
      </c>
      <c r="C30" s="104">
        <f>'Mean-Line'!C26</f>
        <v>0.00123046875</v>
      </c>
      <c r="D30" s="105">
        <f>'Mean-Line'!F26</f>
        <v>0.1913787852844245</v>
      </c>
      <c r="E30" s="106">
        <f t="shared" si="0"/>
        <v>0.19021268802116295</v>
      </c>
      <c r="F30" s="106">
        <f t="shared" si="1"/>
        <v>0.98174290591568</v>
      </c>
      <c r="G30" s="107">
        <f t="shared" si="2"/>
        <v>0.0028029741706798576</v>
      </c>
      <c r="H30" s="108">
        <f t="shared" si="3"/>
        <v>0.014466963461573461</v>
      </c>
      <c r="I30" s="109">
        <f t="shared" si="4"/>
        <v>0.0034470258293201428</v>
      </c>
      <c r="J30" s="103">
        <f t="shared" si="5"/>
        <v>0.01569743221157346</v>
      </c>
      <c r="K30" s="103">
        <f t="shared" si="6"/>
        <v>0.009052974170679857</v>
      </c>
      <c r="L30" s="104">
        <f t="shared" si="7"/>
        <v>-0.013236494711573461</v>
      </c>
    </row>
    <row r="31" spans="1:12" ht="15" customHeight="1">
      <c r="A31" s="109">
        <v>0.0125</v>
      </c>
      <c r="B31" s="103">
        <f>Thickness!B36</f>
        <v>0.020518</v>
      </c>
      <c r="C31" s="104">
        <f>'Mean-Line'!C27</f>
        <v>0.002421875</v>
      </c>
      <c r="D31" s="105">
        <f>'Mean-Line'!F27</f>
        <v>0.1853479499956947</v>
      </c>
      <c r="E31" s="106">
        <f t="shared" si="0"/>
        <v>0.1842885350501853</v>
      </c>
      <c r="F31" s="106">
        <f t="shared" si="1"/>
        <v>0.9828721869343219</v>
      </c>
      <c r="G31" s="107">
        <f t="shared" si="2"/>
        <v>0.003781232162159702</v>
      </c>
      <c r="H31" s="108">
        <f t="shared" si="3"/>
        <v>0.020166571531518417</v>
      </c>
      <c r="I31" s="109">
        <f t="shared" si="4"/>
        <v>0.0087187678378403</v>
      </c>
      <c r="J31" s="103">
        <f t="shared" si="5"/>
        <v>0.022588446531518418</v>
      </c>
      <c r="K31" s="103">
        <f t="shared" si="6"/>
        <v>0.016281232162159702</v>
      </c>
      <c r="L31" s="104">
        <f t="shared" si="7"/>
        <v>-0.017744696531518417</v>
      </c>
    </row>
    <row r="32" spans="1:12" ht="15" customHeight="1">
      <c r="A32" s="109">
        <v>0.025</v>
      </c>
      <c r="B32" s="103">
        <f>Thickness!B37</f>
        <v>0.028327</v>
      </c>
      <c r="C32" s="104">
        <f>'Mean-Line'!C28</f>
        <v>0.0046875</v>
      </c>
      <c r="D32" s="105">
        <f>'Mean-Line'!F28</f>
        <v>0.17324566645236494</v>
      </c>
      <c r="E32" s="106">
        <f t="shared" si="0"/>
        <v>0.17238033175224823</v>
      </c>
      <c r="F32" s="106">
        <f t="shared" si="1"/>
        <v>0.9850304671557042</v>
      </c>
      <c r="G32" s="107">
        <f t="shared" si="2"/>
        <v>0.004883017657545936</v>
      </c>
      <c r="H32" s="108">
        <f t="shared" si="3"/>
        <v>0.027902958043119635</v>
      </c>
      <c r="I32" s="109">
        <f t="shared" si="4"/>
        <v>0.020116982342454064</v>
      </c>
      <c r="J32" s="103">
        <f t="shared" si="5"/>
        <v>0.032590458043119636</v>
      </c>
      <c r="K32" s="103">
        <f t="shared" si="6"/>
        <v>0.02988301765754594</v>
      </c>
      <c r="L32" s="104">
        <f t="shared" si="7"/>
        <v>-0.023215458043119634</v>
      </c>
    </row>
    <row r="33" spans="1:12" ht="15" customHeight="1">
      <c r="A33" s="109">
        <v>0.05</v>
      </c>
      <c r="B33" s="103">
        <f>Thickness!B38</f>
        <v>0.03851</v>
      </c>
      <c r="C33" s="104">
        <f>'Mean-Line'!C29</f>
        <v>0.008749999999999999</v>
      </c>
      <c r="D33" s="105">
        <f>'Mean-Line'!F29</f>
        <v>0.14888994760949725</v>
      </c>
      <c r="E33" s="106">
        <f t="shared" si="0"/>
        <v>0.14834045293024464</v>
      </c>
      <c r="F33" s="106">
        <f t="shared" si="1"/>
        <v>0.9889363528682975</v>
      </c>
      <c r="G33" s="107">
        <f t="shared" si="2"/>
        <v>0.005712590842343722</v>
      </c>
      <c r="H33" s="108">
        <f t="shared" si="3"/>
        <v>0.03808393894895814</v>
      </c>
      <c r="I33" s="109">
        <f t="shared" si="4"/>
        <v>0.044287409157656284</v>
      </c>
      <c r="J33" s="103">
        <f t="shared" si="5"/>
        <v>0.04683393894895814</v>
      </c>
      <c r="K33" s="103">
        <f t="shared" si="6"/>
        <v>0.05571259084234372</v>
      </c>
      <c r="L33" s="104">
        <f t="shared" si="7"/>
        <v>-0.029333938948958138</v>
      </c>
    </row>
    <row r="34" spans="1:12" ht="15" customHeight="1">
      <c r="A34" s="109">
        <v>0.075</v>
      </c>
      <c r="B34" s="103">
        <f>Thickness!B39</f>
        <v>0.0455</v>
      </c>
      <c r="C34" s="104">
        <f>'Mean-Line'!C30</f>
        <v>0.012187499999999997</v>
      </c>
      <c r="D34" s="105">
        <f>'Mean-Line'!F30</f>
        <v>0.12435499454676141</v>
      </c>
      <c r="E34" s="106">
        <f t="shared" si="0"/>
        <v>0.12403473458920843</v>
      </c>
      <c r="F34" s="106">
        <f t="shared" si="1"/>
        <v>0.9922778767136676</v>
      </c>
      <c r="G34" s="107">
        <f t="shared" si="2"/>
        <v>0.005643580423808983</v>
      </c>
      <c r="H34" s="108">
        <f t="shared" si="3"/>
        <v>0.04514864339047188</v>
      </c>
      <c r="I34" s="109">
        <f t="shared" si="4"/>
        <v>0.06935641957619101</v>
      </c>
      <c r="J34" s="103">
        <f t="shared" si="5"/>
        <v>0.057336143390471876</v>
      </c>
      <c r="K34" s="103">
        <f t="shared" si="6"/>
        <v>0.08064358042380898</v>
      </c>
      <c r="L34" s="104">
        <f t="shared" si="7"/>
        <v>-0.03296114339047188</v>
      </c>
    </row>
    <row r="35" spans="1:12" ht="15" customHeight="1">
      <c r="A35" s="109">
        <v>0.1</v>
      </c>
      <c r="B35" s="103">
        <f>Thickness!B40</f>
        <v>0.050732</v>
      </c>
      <c r="C35" s="104">
        <f>'Mean-Line'!C31</f>
        <v>0.015</v>
      </c>
      <c r="D35" s="105">
        <f>'Mean-Line'!F31</f>
        <v>0.09966865249116201</v>
      </c>
      <c r="E35" s="106">
        <f t="shared" si="0"/>
        <v>0.0995037190209989</v>
      </c>
      <c r="F35" s="106">
        <f t="shared" si="1"/>
        <v>0.9950371902099892</v>
      </c>
      <c r="G35" s="107">
        <f t="shared" si="2"/>
        <v>0.005048022673373316</v>
      </c>
      <c r="H35" s="108">
        <f t="shared" si="3"/>
        <v>0.05048022673373317</v>
      </c>
      <c r="I35" s="109">
        <f t="shared" si="4"/>
        <v>0.09495197732662669</v>
      </c>
      <c r="J35" s="103">
        <f t="shared" si="5"/>
        <v>0.06548022673373316</v>
      </c>
      <c r="K35" s="103">
        <f t="shared" si="6"/>
        <v>0.10504802267337332</v>
      </c>
      <c r="L35" s="104">
        <f t="shared" si="7"/>
        <v>-0.03548022673373317</v>
      </c>
    </row>
    <row r="36" spans="1:12" ht="15" customHeight="1">
      <c r="A36" s="109">
        <v>0.15</v>
      </c>
      <c r="B36" s="103">
        <f>Thickness!B41</f>
        <v>0.057908</v>
      </c>
      <c r="C36" s="104">
        <f>'Mean-Line'!C32</f>
        <v>0.018749999999999996</v>
      </c>
      <c r="D36" s="105">
        <f>'Mean-Line'!F32</f>
        <v>0.049958395721942765</v>
      </c>
      <c r="E36" s="106">
        <f t="shared" si="0"/>
        <v>0.04993761694389224</v>
      </c>
      <c r="F36" s="106">
        <f t="shared" si="1"/>
        <v>0.9987523388778446</v>
      </c>
      <c r="G36" s="107">
        <f t="shared" si="2"/>
        <v>0.002891787521986912</v>
      </c>
      <c r="H36" s="108">
        <f t="shared" si="3"/>
        <v>0.05783575043973823</v>
      </c>
      <c r="I36" s="109">
        <f t="shared" si="4"/>
        <v>0.1471082124780131</v>
      </c>
      <c r="J36" s="103">
        <f t="shared" si="5"/>
        <v>0.07658575043973823</v>
      </c>
      <c r="K36" s="103">
        <f t="shared" si="6"/>
        <v>0.1528917875219869</v>
      </c>
      <c r="L36" s="104">
        <f t="shared" si="7"/>
        <v>-0.039085750439738234</v>
      </c>
    </row>
    <row r="37" spans="1:12" ht="15" customHeight="1">
      <c r="A37" s="109">
        <v>0.2</v>
      </c>
      <c r="B37" s="103">
        <f>Thickness!B42</f>
        <v>0.062159</v>
      </c>
      <c r="C37" s="104">
        <f>'Mean-Line'!C33</f>
        <v>0.019999999999999993</v>
      </c>
      <c r="D37" s="105">
        <f>'Mean-Line'!F33</f>
        <v>0</v>
      </c>
      <c r="E37" s="106">
        <f t="shared" si="0"/>
        <v>0</v>
      </c>
      <c r="F37" s="106">
        <f t="shared" si="1"/>
        <v>1</v>
      </c>
      <c r="G37" s="107">
        <f t="shared" si="2"/>
        <v>0</v>
      </c>
      <c r="H37" s="108">
        <f t="shared" si="3"/>
        <v>0.062159</v>
      </c>
      <c r="I37" s="109">
        <f t="shared" si="4"/>
        <v>0.2</v>
      </c>
      <c r="J37" s="103">
        <f t="shared" si="5"/>
        <v>0.082159</v>
      </c>
      <c r="K37" s="103">
        <f t="shared" si="6"/>
        <v>0.2</v>
      </c>
      <c r="L37" s="104">
        <f t="shared" si="7"/>
        <v>-0.042159</v>
      </c>
    </row>
    <row r="38" spans="1:12" ht="15" customHeight="1">
      <c r="A38" s="109">
        <v>0.25</v>
      </c>
      <c r="B38" s="103">
        <f>Thickness!B43</f>
        <v>0.064366</v>
      </c>
      <c r="C38" s="104">
        <f>'Mean-Line'!C34</f>
        <v>0.019921874999999995</v>
      </c>
      <c r="D38" s="105">
        <f>'Mean-Line'!F34</f>
        <v>-0.003124989827533561</v>
      </c>
      <c r="E38" s="106">
        <f t="shared" si="0"/>
        <v>-0.0031249847413226937</v>
      </c>
      <c r="F38" s="106">
        <f t="shared" si="1"/>
        <v>0.9999951172232625</v>
      </c>
      <c r="G38" s="107">
        <f t="shared" si="2"/>
        <v>-0.00020114276785997652</v>
      </c>
      <c r="H38" s="108">
        <f t="shared" si="3"/>
        <v>0.06436568571519252</v>
      </c>
      <c r="I38" s="109">
        <f t="shared" si="4"/>
        <v>0.25020114276786</v>
      </c>
      <c r="J38" s="103">
        <f t="shared" si="5"/>
        <v>0.08428756071519251</v>
      </c>
      <c r="K38" s="103">
        <f t="shared" si="6"/>
        <v>0.24979885723214001</v>
      </c>
      <c r="L38" s="104">
        <f t="shared" si="7"/>
        <v>-0.04444381071519253</v>
      </c>
    </row>
    <row r="39" spans="1:12" ht="15" customHeight="1">
      <c r="A39" s="109">
        <v>0.3</v>
      </c>
      <c r="B39" s="103">
        <f>Thickness!B44</f>
        <v>0.065022</v>
      </c>
      <c r="C39" s="104">
        <f>'Mean-Line'!C35</f>
        <v>0.019687499999999997</v>
      </c>
      <c r="D39" s="105">
        <f>'Mean-Line'!F35</f>
        <v>-0.006249918621698959</v>
      </c>
      <c r="E39" s="106">
        <f t="shared" si="0"/>
        <v>-0.006249877933263659</v>
      </c>
      <c r="F39" s="106">
        <f t="shared" si="1"/>
        <v>0.999980469322186</v>
      </c>
      <c r="G39" s="107">
        <f t="shared" si="2"/>
        <v>-0.00040637956297666963</v>
      </c>
      <c r="H39" s="108">
        <f t="shared" si="3"/>
        <v>0.06502073007626717</v>
      </c>
      <c r="I39" s="109">
        <f t="shared" si="4"/>
        <v>0.30040637956297667</v>
      </c>
      <c r="J39" s="103">
        <f t="shared" si="5"/>
        <v>0.08470823007626717</v>
      </c>
      <c r="K39" s="103">
        <f t="shared" si="6"/>
        <v>0.2995936204370233</v>
      </c>
      <c r="L39" s="104">
        <f t="shared" si="7"/>
        <v>-0.045333230076267175</v>
      </c>
    </row>
    <row r="40" spans="1:12" ht="15" customHeight="1">
      <c r="A40" s="109">
        <v>0.35</v>
      </c>
      <c r="B40" s="103">
        <f>Thickness!B45</f>
        <v>0.064446</v>
      </c>
      <c r="C40" s="104">
        <f>'Mean-Line'!C36</f>
        <v>0.019296874999999998</v>
      </c>
      <c r="D40" s="105">
        <f>'Mean-Line'!F36</f>
        <v>-0.009374725356279891</v>
      </c>
      <c r="E40" s="106">
        <f t="shared" si="0"/>
        <v>-0.009374588039850687</v>
      </c>
      <c r="F40" s="106">
        <f t="shared" si="1"/>
        <v>0.9999560575840736</v>
      </c>
      <c r="G40" s="107">
        <f t="shared" si="2"/>
        <v>-0.0006041547008162174</v>
      </c>
      <c r="H40" s="108">
        <f t="shared" si="3"/>
        <v>0.06444316808706321</v>
      </c>
      <c r="I40" s="109">
        <f t="shared" si="4"/>
        <v>0.3506041547008162</v>
      </c>
      <c r="J40" s="103">
        <f t="shared" si="5"/>
        <v>0.0837400430870632</v>
      </c>
      <c r="K40" s="103">
        <f t="shared" si="6"/>
        <v>0.34939584529918377</v>
      </c>
      <c r="L40" s="104">
        <f t="shared" si="7"/>
        <v>-0.045146293087063215</v>
      </c>
    </row>
    <row r="41" spans="1:12" ht="15" customHeight="1">
      <c r="A41" s="109">
        <v>0.4</v>
      </c>
      <c r="B41" s="103">
        <f>Thickness!B46</f>
        <v>0.062869</v>
      </c>
      <c r="C41" s="104">
        <f>'Mean-Line'!C37</f>
        <v>0.018749999999999996</v>
      </c>
      <c r="D41" s="105">
        <f>'Mean-Line'!F37</f>
        <v>-0.012499349019361675</v>
      </c>
      <c r="E41" s="106">
        <f t="shared" si="0"/>
        <v>-0.012499023551926015</v>
      </c>
      <c r="F41" s="106">
        <f t="shared" si="1"/>
        <v>0.9999218841540815</v>
      </c>
      <c r="G41" s="107">
        <f t="shared" si="2"/>
        <v>-0.0007858011116860365</v>
      </c>
      <c r="H41" s="108">
        <f t="shared" si="3"/>
        <v>0.06286408893488295</v>
      </c>
      <c r="I41" s="109">
        <f t="shared" si="4"/>
        <v>0.40078580111168605</v>
      </c>
      <c r="J41" s="103">
        <f t="shared" si="5"/>
        <v>0.08161408893488295</v>
      </c>
      <c r="K41" s="103">
        <f t="shared" si="6"/>
        <v>0.399214198888314</v>
      </c>
      <c r="L41" s="104">
        <f t="shared" si="7"/>
        <v>-0.04411408893488295</v>
      </c>
    </row>
    <row r="42" spans="1:12" ht="15" customHeight="1">
      <c r="A42" s="109">
        <v>0.45</v>
      </c>
      <c r="B42" s="103">
        <f>Thickness!B47</f>
        <v>0.060462</v>
      </c>
      <c r="C42" s="104">
        <f>'Mean-Line'!C38</f>
        <v>0.018046874999999997</v>
      </c>
      <c r="D42" s="105">
        <f>'Mean-Line'!F38</f>
        <v>-0.015623728620476828</v>
      </c>
      <c r="E42" s="106">
        <f t="shared" si="0"/>
        <v>-0.01562309300054211</v>
      </c>
      <c r="F42" s="106">
        <f t="shared" si="1"/>
        <v>0.9998779520346953</v>
      </c>
      <c r="G42" s="107">
        <f t="shared" si="2"/>
        <v>-0.0009446034489987771</v>
      </c>
      <c r="H42" s="108">
        <f t="shared" si="3"/>
        <v>0.06045462073592175</v>
      </c>
      <c r="I42" s="109">
        <f t="shared" si="4"/>
        <v>0.4509446034489988</v>
      </c>
      <c r="J42" s="103">
        <f t="shared" si="5"/>
        <v>0.07850149573592174</v>
      </c>
      <c r="K42" s="103">
        <f t="shared" si="6"/>
        <v>0.44905539655100124</v>
      </c>
      <c r="L42" s="104">
        <f t="shared" si="7"/>
        <v>-0.04240774573592175</v>
      </c>
    </row>
    <row r="43" spans="1:12" ht="15" customHeight="1">
      <c r="A43" s="109">
        <v>0.5</v>
      </c>
      <c r="B43" s="103">
        <f>Thickness!B48</f>
        <v>0.057356</v>
      </c>
      <c r="C43" s="104">
        <f>'Mean-Line'!C39</f>
        <v>0.017187499999999998</v>
      </c>
      <c r="D43" s="105">
        <f>'Mean-Line'!F39</f>
        <v>-0.018747803197744356</v>
      </c>
      <c r="E43" s="106">
        <f t="shared" si="0"/>
        <v>-0.018746704970343694</v>
      </c>
      <c r="F43" s="106">
        <f t="shared" si="1"/>
        <v>0.9998242650849972</v>
      </c>
      <c r="G43" s="107">
        <f t="shared" si="2"/>
        <v>-0.0010752360102790329</v>
      </c>
      <c r="H43" s="108">
        <f t="shared" si="3"/>
        <v>0.0573459205482151</v>
      </c>
      <c r="I43" s="109">
        <f t="shared" si="4"/>
        <v>0.501075236010279</v>
      </c>
      <c r="J43" s="103">
        <f t="shared" si="5"/>
        <v>0.0745334205482151</v>
      </c>
      <c r="K43" s="103">
        <f t="shared" si="6"/>
        <v>0.49892476398972097</v>
      </c>
      <c r="L43" s="104">
        <f t="shared" si="7"/>
        <v>-0.0401584205482151</v>
      </c>
    </row>
    <row r="44" spans="1:12" ht="15" customHeight="1">
      <c r="A44" s="109">
        <v>0.55</v>
      </c>
      <c r="B44" s="103">
        <f>Thickness!B49</f>
        <v>0.053655</v>
      </c>
      <c r="C44" s="104">
        <f>'Mean-Line'!C40</f>
        <v>0.016171875</v>
      </c>
      <c r="D44" s="105">
        <f>'Mean-Line'!F40</f>
        <v>-0.021871511825000696</v>
      </c>
      <c r="E44" s="106">
        <f t="shared" si="0"/>
        <v>-0.02186976811293149</v>
      </c>
      <c r="F44" s="106">
        <f t="shared" si="1"/>
        <v>0.9997608280197252</v>
      </c>
      <c r="G44" s="107">
        <f t="shared" si="2"/>
        <v>-0.001173422408099339</v>
      </c>
      <c r="H44" s="108">
        <f t="shared" si="3"/>
        <v>0.053642167227398355</v>
      </c>
      <c r="I44" s="109">
        <f t="shared" si="4"/>
        <v>0.5511734224080994</v>
      </c>
      <c r="J44" s="103">
        <f t="shared" si="5"/>
        <v>0.06981404222739836</v>
      </c>
      <c r="K44" s="103">
        <f t="shared" si="6"/>
        <v>0.5488265775919007</v>
      </c>
      <c r="L44" s="104">
        <f t="shared" si="7"/>
        <v>-0.03747029222739835</v>
      </c>
    </row>
    <row r="45" spans="1:12" ht="15" customHeight="1">
      <c r="A45" s="109">
        <v>0.6</v>
      </c>
      <c r="B45" s="103">
        <f>Thickness!B50</f>
        <v>0.049441</v>
      </c>
      <c r="C45" s="104">
        <f>'Mean-Line'!C41</f>
        <v>0.014999999999999996</v>
      </c>
      <c r="D45" s="105">
        <f>'Mean-Line'!F41</f>
        <v>-0.02499479361892015</v>
      </c>
      <c r="E45" s="106">
        <f t="shared" si="0"/>
        <v>-0.02499219116020306</v>
      </c>
      <c r="F45" s="106">
        <f t="shared" si="1"/>
        <v>0.9996876464081228</v>
      </c>
      <c r="G45" s="107">
        <f t="shared" si="2"/>
        <v>-0.0012356389231515995</v>
      </c>
      <c r="H45" s="108">
        <f t="shared" si="3"/>
        <v>0.049425556926064</v>
      </c>
      <c r="I45" s="109">
        <f t="shared" si="4"/>
        <v>0.6012356389231516</v>
      </c>
      <c r="J45" s="103">
        <f t="shared" si="5"/>
        <v>0.064425556926064</v>
      </c>
      <c r="K45" s="103">
        <f t="shared" si="6"/>
        <v>0.5987643610768484</v>
      </c>
      <c r="L45" s="104">
        <f t="shared" si="7"/>
        <v>-0.034425556926064</v>
      </c>
    </row>
    <row r="46" spans="1:12" ht="15" customHeight="1">
      <c r="A46" s="109">
        <v>0.65</v>
      </c>
      <c r="B46" s="103">
        <f>Thickness!B51</f>
        <v>0.044773</v>
      </c>
      <c r="C46" s="104">
        <f>'Mean-Line'!C42</f>
        <v>0.013671874999999995</v>
      </c>
      <c r="D46" s="105">
        <f>'Mean-Line'!F42</f>
        <v>-0.0281175877461229</v>
      </c>
      <c r="E46" s="106">
        <f t="shared" si="0"/>
        <v>-0.028113882937666358</v>
      </c>
      <c r="F46" s="106">
        <f t="shared" si="1"/>
        <v>0.9996047266725819</v>
      </c>
      <c r="G46" s="107">
        <f t="shared" si="2"/>
        <v>-0.001258742880768136</v>
      </c>
      <c r="H46" s="108">
        <f t="shared" si="3"/>
        <v>0.04475530242731151</v>
      </c>
      <c r="I46" s="109">
        <f t="shared" si="4"/>
        <v>0.6512587428807681</v>
      </c>
      <c r="J46" s="103">
        <f t="shared" si="5"/>
        <v>0.0584271774273115</v>
      </c>
      <c r="K46" s="103">
        <f t="shared" si="6"/>
        <v>0.6487412571192319</v>
      </c>
      <c r="L46" s="104">
        <f t="shared" si="7"/>
        <v>-0.031083427427311516</v>
      </c>
    </row>
    <row r="47" spans="1:12" ht="15" customHeight="1">
      <c r="A47" s="109">
        <v>0.7</v>
      </c>
      <c r="B47" s="103">
        <f>Thickness!B52</f>
        <v>0.039697</v>
      </c>
      <c r="C47" s="104">
        <f>'Mean-Line'!C43</f>
        <v>0.012187499999999995</v>
      </c>
      <c r="D47" s="105">
        <f>'Mean-Line'!F43</f>
        <v>-0.031239833430268267</v>
      </c>
      <c r="E47" s="106">
        <f t="shared" si="0"/>
        <v>-0.031234752377721203</v>
      </c>
      <c r="F47" s="106">
        <f t="shared" si="1"/>
        <v>0.9995120760870788</v>
      </c>
      <c r="G47" s="107">
        <f t="shared" si="2"/>
        <v>-0.0012399259651383987</v>
      </c>
      <c r="H47" s="108">
        <f t="shared" si="3"/>
        <v>0.03967763088442877</v>
      </c>
      <c r="I47" s="109">
        <f t="shared" si="4"/>
        <v>0.7012399259651384</v>
      </c>
      <c r="J47" s="103">
        <f t="shared" si="5"/>
        <v>0.05186513088442877</v>
      </c>
      <c r="K47" s="103">
        <f t="shared" si="6"/>
        <v>0.6987600740348615</v>
      </c>
      <c r="L47" s="104">
        <f t="shared" si="7"/>
        <v>-0.027490130884428775</v>
      </c>
    </row>
    <row r="48" spans="1:12" ht="15" customHeight="1">
      <c r="A48" s="109">
        <v>0.75</v>
      </c>
      <c r="B48" s="103">
        <f>Thickness!B53</f>
        <v>0.034242</v>
      </c>
      <c r="C48" s="104">
        <f>'Mean-Line'!C44</f>
        <v>0.010546874999999999</v>
      </c>
      <c r="D48" s="105">
        <f>'Mean-Line'!F44</f>
        <v>-0.03436146995913146</v>
      </c>
      <c r="E48" s="106">
        <f t="shared" si="0"/>
        <v>-0.03435470853290447</v>
      </c>
      <c r="F48" s="106">
        <f t="shared" si="1"/>
        <v>0.9994097027754029</v>
      </c>
      <c r="G48" s="107">
        <f t="shared" si="2"/>
        <v>-0.0011763739295837148</v>
      </c>
      <c r="H48" s="108">
        <f t="shared" si="3"/>
        <v>0.034221787042435343</v>
      </c>
      <c r="I48" s="109">
        <f t="shared" si="4"/>
        <v>0.7511763739295837</v>
      </c>
      <c r="J48" s="103">
        <f t="shared" si="5"/>
        <v>0.04476866204243534</v>
      </c>
      <c r="K48" s="103">
        <f t="shared" si="6"/>
        <v>0.7488236260704163</v>
      </c>
      <c r="L48" s="104">
        <f t="shared" si="7"/>
        <v>-0.023674912042435346</v>
      </c>
    </row>
    <row r="49" spans="1:12" ht="15" customHeight="1">
      <c r="A49" s="109">
        <v>0.8</v>
      </c>
      <c r="B49" s="103">
        <f>Thickness!B54</f>
        <v>0.028422</v>
      </c>
      <c r="C49" s="104">
        <f>'Mean-Line'!C45</f>
        <v>0.008749999999999996</v>
      </c>
      <c r="D49" s="105">
        <f>'Mean-Line'!F45</f>
        <v>-0.037482436691661486</v>
      </c>
      <c r="E49" s="106">
        <f t="shared" si="0"/>
        <v>-0.03747366058909427</v>
      </c>
      <c r="F49" s="106">
        <f t="shared" si="1"/>
        <v>0.9992976157091806</v>
      </c>
      <c r="G49" s="107">
        <f t="shared" si="2"/>
        <v>-0.0010650763812632374</v>
      </c>
      <c r="H49" s="108">
        <f t="shared" si="3"/>
        <v>0.02840203683368633</v>
      </c>
      <c r="I49" s="109">
        <f t="shared" si="4"/>
        <v>0.8010650763812632</v>
      </c>
      <c r="J49" s="103">
        <f t="shared" si="5"/>
        <v>0.03715203683368633</v>
      </c>
      <c r="K49" s="103">
        <f t="shared" si="6"/>
        <v>0.7989349236187369</v>
      </c>
      <c r="L49" s="104">
        <f t="shared" si="7"/>
        <v>-0.019652036833686333</v>
      </c>
    </row>
    <row r="50" spans="1:12" ht="15" customHeight="1">
      <c r="A50" s="109">
        <v>0.85</v>
      </c>
      <c r="B50" s="103">
        <f>Thickness!B55</f>
        <v>0.022241</v>
      </c>
      <c r="C50" s="104">
        <f>'Mean-Line'!C46</f>
        <v>0.006796874999999999</v>
      </c>
      <c r="D50" s="105">
        <f>'Mean-Line'!F46</f>
        <v>-0.04060267306501837</v>
      </c>
      <c r="E50" s="106">
        <f t="shared" si="0"/>
        <v>-0.04059151787866885</v>
      </c>
      <c r="F50" s="106">
        <f t="shared" si="1"/>
        <v>0.999175824705695</v>
      </c>
      <c r="G50" s="107">
        <f t="shared" si="2"/>
        <v>-0.0009027959491394738</v>
      </c>
      <c r="H50" s="108">
        <f t="shared" si="3"/>
        <v>0.022222669517279362</v>
      </c>
      <c r="I50" s="109">
        <f t="shared" si="4"/>
        <v>0.8509027959491394</v>
      </c>
      <c r="J50" s="103">
        <f t="shared" si="5"/>
        <v>0.02901954451727936</v>
      </c>
      <c r="K50" s="103">
        <f t="shared" si="6"/>
        <v>0.8490972040508605</v>
      </c>
      <c r="L50" s="104">
        <f t="shared" si="7"/>
        <v>-0.015425794517279363</v>
      </c>
    </row>
    <row r="51" spans="1:12" ht="15" customHeight="1">
      <c r="A51" s="109">
        <v>0.9</v>
      </c>
      <c r="B51" s="103">
        <f>Thickness!B56</f>
        <v>0.015689</v>
      </c>
      <c r="C51" s="104">
        <f>'Mean-Line'!C47</f>
        <v>0.004687499999999996</v>
      </c>
      <c r="D51" s="105">
        <f>'Mean-Line'!F47</f>
        <v>-0.0437221186015876</v>
      </c>
      <c r="E51" s="106">
        <f t="shared" si="0"/>
        <v>-0.04370818989361564</v>
      </c>
      <c r="F51" s="106">
        <f t="shared" si="1"/>
        <v>0.9990443404255006</v>
      </c>
      <c r="G51" s="107">
        <f t="shared" si="2"/>
        <v>-0.0006857377912409359</v>
      </c>
      <c r="H51" s="108">
        <f t="shared" si="3"/>
        <v>0.01567400665693568</v>
      </c>
      <c r="I51" s="109">
        <f t="shared" si="4"/>
        <v>0.900685737791241</v>
      </c>
      <c r="J51" s="103">
        <f t="shared" si="5"/>
        <v>0.020361506656935677</v>
      </c>
      <c r="K51" s="103">
        <f t="shared" si="6"/>
        <v>0.8993142622087591</v>
      </c>
      <c r="L51" s="104">
        <f t="shared" si="7"/>
        <v>-0.010986506656935683</v>
      </c>
    </row>
    <row r="52" spans="1:12" ht="15" customHeight="1">
      <c r="A52" s="109">
        <v>0.95</v>
      </c>
      <c r="B52" s="103">
        <f>Thickness!B57</f>
        <v>0.008743</v>
      </c>
      <c r="C52" s="104">
        <f>'Mean-Line'!C48</f>
        <v>0.002421875</v>
      </c>
      <c r="D52" s="105">
        <f>'Mean-Line'!F48</f>
        <v>-0.04684071291596964</v>
      </c>
      <c r="E52" s="106">
        <f t="shared" si="0"/>
        <v>-0.04682358629858614</v>
      </c>
      <c r="F52" s="106">
        <f t="shared" si="1"/>
        <v>0.9989031743698379</v>
      </c>
      <c r="G52" s="107">
        <f t="shared" si="2"/>
        <v>-0.0004093786150085387</v>
      </c>
      <c r="H52" s="108">
        <f t="shared" si="3"/>
        <v>0.008733410453515493</v>
      </c>
      <c r="I52" s="109">
        <f t="shared" si="4"/>
        <v>0.9504093786150085</v>
      </c>
      <c r="J52" s="103">
        <f t="shared" si="5"/>
        <v>0.011155285453515493</v>
      </c>
      <c r="K52" s="103">
        <f t="shared" si="6"/>
        <v>0.9495906213849914</v>
      </c>
      <c r="L52" s="104">
        <f t="shared" si="7"/>
        <v>-0.006311535453515493</v>
      </c>
    </row>
    <row r="53" spans="1:12" ht="15" customHeight="1">
      <c r="A53" s="116">
        <v>1</v>
      </c>
      <c r="B53" s="110">
        <f>Thickness!B58</f>
        <v>0.00137</v>
      </c>
      <c r="C53" s="111">
        <f>'Mean-Line'!C49</f>
        <v>0</v>
      </c>
      <c r="D53" s="112">
        <f>'Mean-Line'!F49</f>
        <v>-0.04995839572194275</v>
      </c>
      <c r="E53" s="113">
        <f t="shared" si="0"/>
        <v>-0.049937616943892225</v>
      </c>
      <c r="F53" s="113">
        <f t="shared" si="1"/>
        <v>0.9987523388778446</v>
      </c>
      <c r="G53" s="114">
        <f t="shared" si="2"/>
        <v>-6.841453521313234E-05</v>
      </c>
      <c r="H53" s="115">
        <f t="shared" si="3"/>
        <v>0.001368290704262647</v>
      </c>
      <c r="I53" s="116">
        <f t="shared" si="4"/>
        <v>1.0000684145352132</v>
      </c>
      <c r="J53" s="110">
        <f t="shared" si="5"/>
        <v>0.001368290704262647</v>
      </c>
      <c r="K53" s="110">
        <f t="shared" si="6"/>
        <v>0.9999315854647869</v>
      </c>
      <c r="L53" s="111">
        <f t="shared" si="7"/>
        <v>-0.001368290704262647</v>
      </c>
    </row>
  </sheetData>
  <sheetProtection password="C9DF" sheet="1" objects="1" scenarios="1"/>
  <mergeCells count="2">
    <mergeCell ref="A1:A2"/>
    <mergeCell ref="B1:B2"/>
  </mergeCells>
  <printOptions/>
  <pageMargins left="1" right="0.16" top="1.37" bottom="0.51" header="0.94" footer="0.2"/>
  <pageSetup fitToHeight="1" fitToWidth="1" horizontalDpi="600" verticalDpi="600" orientation="portrait" paperSize="9" scale="96" r:id="rId5"/>
  <headerFooter alignWithMargins="0">
    <oddHeader>&amp;C&amp;"Arial Black,標準"&amp;24NACA 4-Disit Airfoil</oddHeader>
  </headerFooter>
  <drawing r:id="rId4"/>
  <legacyDrawing r:id="rId3"/>
  <oleObjects>
    <oleObject progId="Equation.3" shapeId="482652" r:id="rId1"/>
    <oleObject progId="Equation.3" shapeId="48265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5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8" width="14.375" style="118" customWidth="1"/>
    <col min="9" max="9" width="2.25390625" style="118" customWidth="1"/>
    <col min="10" max="16384" width="10.25390625" style="118" customWidth="1"/>
  </cols>
  <sheetData>
    <row r="1" spans="6:8" ht="22.5">
      <c r="F1" s="350" t="s">
        <v>49</v>
      </c>
      <c r="G1" s="351"/>
      <c r="H1" s="117">
        <f>'NACA 4-Disit'!L2</f>
        <v>0.13</v>
      </c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spans="1:9" ht="26.25">
      <c r="A27" s="119" t="s">
        <v>66</v>
      </c>
      <c r="B27" s="120" t="s">
        <v>67</v>
      </c>
      <c r="C27" s="121" t="s">
        <v>50</v>
      </c>
      <c r="D27" s="119" t="s">
        <v>68</v>
      </c>
      <c r="E27" s="122" t="s">
        <v>69</v>
      </c>
      <c r="F27" s="122" t="s">
        <v>70</v>
      </c>
      <c r="G27" s="122" t="s">
        <v>71</v>
      </c>
      <c r="H27" s="123" t="s">
        <v>72</v>
      </c>
      <c r="I27" s="124"/>
    </row>
    <row r="28" spans="1:8" ht="13.5">
      <c r="A28" s="125">
        <f>'NACA 4-Disit'!L2</f>
        <v>0.13</v>
      </c>
      <c r="B28" s="126">
        <f>ROUND(1.10187*A28^2,5)</f>
        <v>0.01862</v>
      </c>
      <c r="C28" s="127">
        <f>ROUND(A28/0.2,3)</f>
        <v>0.65</v>
      </c>
      <c r="D28" s="128">
        <f>ROUND(D29*$C$28,5)</f>
        <v>0.19299</v>
      </c>
      <c r="E28" s="129">
        <f>ROUND(E29*$C$28,5)</f>
        <v>0.0819</v>
      </c>
      <c r="F28" s="129">
        <f>ROUND(F29*$C$28,5)</f>
        <v>0.22854</v>
      </c>
      <c r="G28" s="129">
        <f>ROUND(G29*$C$28,5)</f>
        <v>0.1848</v>
      </c>
      <c r="H28" s="126">
        <f>ROUND(H29*$C$28,5)</f>
        <v>0.06598</v>
      </c>
    </row>
    <row r="29" spans="1:8" ht="13.5" hidden="1">
      <c r="A29" s="130"/>
      <c r="B29" s="131"/>
      <c r="C29" s="132">
        <v>1</v>
      </c>
      <c r="D29" s="133">
        <v>0.2969</v>
      </c>
      <c r="E29" s="134">
        <v>0.126</v>
      </c>
      <c r="F29" s="134">
        <v>0.3516</v>
      </c>
      <c r="G29" s="134">
        <v>0.2843</v>
      </c>
      <c r="H29" s="135">
        <v>0.1015</v>
      </c>
    </row>
    <row r="31" spans="1:8" ht="26.25" customHeight="1">
      <c r="A31" s="136" t="s">
        <v>73</v>
      </c>
      <c r="B31" s="137" t="s">
        <v>74</v>
      </c>
      <c r="C31" s="138" t="s">
        <v>75</v>
      </c>
      <c r="D31" s="139"/>
      <c r="E31" s="140"/>
      <c r="F31" s="140"/>
      <c r="G31" s="140"/>
      <c r="H31" s="141"/>
    </row>
    <row r="32" spans="1:8" ht="13.5" hidden="1">
      <c r="A32" s="142">
        <f>B28</f>
        <v>0.01862</v>
      </c>
      <c r="B32" s="143">
        <f aca="true" t="shared" si="0" ref="B32:B58">ROUND((D32-E32-F32+G32-H32),6)</f>
        <v>0.024731</v>
      </c>
      <c r="C32" s="144">
        <f aca="true" t="shared" si="1" ref="C32:C58">ROUND(-(D32-E32-F32+G32-H32),6)</f>
        <v>-0.024731</v>
      </c>
      <c r="D32" s="145">
        <f aca="true" t="shared" si="2" ref="D32:D58">D$28*$A32^(0.5)</f>
        <v>0.02633447376846555</v>
      </c>
      <c r="E32" s="145">
        <f aca="true" t="shared" si="3" ref="E32:E58">E$28*$A32</f>
        <v>0.0015249780000000002</v>
      </c>
      <c r="F32" s="145">
        <f aca="true" t="shared" si="4" ref="F32:F58">F$28*$A32^2</f>
        <v>7.923582357600001E-05</v>
      </c>
      <c r="G32" s="145">
        <f aca="true" t="shared" si="5" ref="G32:G58">G$28*$A32^3</f>
        <v>1.1930015194944002E-06</v>
      </c>
      <c r="H32" s="146">
        <f aca="true" t="shared" si="6" ref="H32:H58">H$28*$A32^4</f>
        <v>7.931056025818174E-09</v>
      </c>
    </row>
    <row r="33" spans="1:8" ht="18" customHeight="1">
      <c r="A33" s="147">
        <f>'NACA 4-Disit'!A28</f>
        <v>0</v>
      </c>
      <c r="B33" s="148">
        <f t="shared" si="0"/>
        <v>0</v>
      </c>
      <c r="C33" s="149">
        <f t="shared" si="1"/>
        <v>0</v>
      </c>
      <c r="D33" s="150">
        <f t="shared" si="2"/>
        <v>0</v>
      </c>
      <c r="E33" s="151">
        <f t="shared" si="3"/>
        <v>0</v>
      </c>
      <c r="F33" s="151">
        <f t="shared" si="4"/>
        <v>0</v>
      </c>
      <c r="G33" s="151">
        <f t="shared" si="5"/>
        <v>0</v>
      </c>
      <c r="H33" s="152">
        <f t="shared" si="6"/>
        <v>0</v>
      </c>
    </row>
    <row r="34" spans="1:8" ht="18" customHeight="1">
      <c r="A34" s="147">
        <f>'NACA 4-Disit'!A29</f>
        <v>0.003125</v>
      </c>
      <c r="B34" s="148">
        <f t="shared" si="0"/>
        <v>0.01053</v>
      </c>
      <c r="C34" s="149">
        <f t="shared" si="1"/>
        <v>-0.01053</v>
      </c>
      <c r="D34" s="150">
        <f t="shared" si="2"/>
        <v>0.01078846897444211</v>
      </c>
      <c r="E34" s="151">
        <f t="shared" si="3"/>
        <v>0.00025593750000000003</v>
      </c>
      <c r="F34" s="151">
        <f t="shared" si="4"/>
        <v>2.2318359375000004E-06</v>
      </c>
      <c r="G34" s="151">
        <f t="shared" si="5"/>
        <v>5.6396484375000014E-09</v>
      </c>
      <c r="H34" s="152">
        <f t="shared" si="6"/>
        <v>6.29234313964844E-12</v>
      </c>
    </row>
    <row r="35" spans="1:8" ht="18" customHeight="1">
      <c r="A35" s="147">
        <f>'NACA 4-Disit'!A30</f>
        <v>0.00625</v>
      </c>
      <c r="B35" s="148">
        <f t="shared" si="0"/>
        <v>0.014736</v>
      </c>
      <c r="C35" s="149">
        <f t="shared" si="1"/>
        <v>-0.014736</v>
      </c>
      <c r="D35" s="150">
        <f t="shared" si="2"/>
        <v>0.015257199140897388</v>
      </c>
      <c r="E35" s="151">
        <f t="shared" si="3"/>
        <v>0.0005118750000000001</v>
      </c>
      <c r="F35" s="151">
        <f t="shared" si="4"/>
        <v>8.927343750000001E-06</v>
      </c>
      <c r="G35" s="151">
        <f t="shared" si="5"/>
        <v>4.511718750000001E-08</v>
      </c>
      <c r="H35" s="152">
        <f t="shared" si="6"/>
        <v>1.0067749023437504E-10</v>
      </c>
    </row>
    <row r="36" spans="1:8" ht="18" customHeight="1">
      <c r="A36" s="147">
        <f>'NACA 4-Disit'!A31</f>
        <v>0.0125</v>
      </c>
      <c r="B36" s="148">
        <f t="shared" si="0"/>
        <v>0.020518</v>
      </c>
      <c r="C36" s="149">
        <f t="shared" si="1"/>
        <v>-0.020518</v>
      </c>
      <c r="D36" s="150">
        <f t="shared" si="2"/>
        <v>0.02157693794888422</v>
      </c>
      <c r="E36" s="151">
        <f t="shared" si="3"/>
        <v>0.0010237500000000001</v>
      </c>
      <c r="F36" s="151">
        <f t="shared" si="4"/>
        <v>3.5709375000000006E-05</v>
      </c>
      <c r="G36" s="151">
        <f t="shared" si="5"/>
        <v>3.609375000000001E-07</v>
      </c>
      <c r="H36" s="152">
        <f t="shared" si="6"/>
        <v>1.6108398437500007E-09</v>
      </c>
    </row>
    <row r="37" spans="1:8" ht="18" customHeight="1">
      <c r="A37" s="147">
        <f>'NACA 4-Disit'!A32</f>
        <v>0.025</v>
      </c>
      <c r="B37" s="148">
        <f t="shared" si="0"/>
        <v>0.028327</v>
      </c>
      <c r="C37" s="149">
        <f t="shared" si="1"/>
        <v>-0.028327</v>
      </c>
      <c r="D37" s="150">
        <f t="shared" si="2"/>
        <v>0.030514398281794777</v>
      </c>
      <c r="E37" s="151">
        <f t="shared" si="3"/>
        <v>0.0020475000000000003</v>
      </c>
      <c r="F37" s="151">
        <f t="shared" si="4"/>
        <v>0.00014283750000000002</v>
      </c>
      <c r="G37" s="151">
        <f t="shared" si="5"/>
        <v>2.8875000000000007E-06</v>
      </c>
      <c r="H37" s="152">
        <f t="shared" si="6"/>
        <v>2.577343750000001E-08</v>
      </c>
    </row>
    <row r="38" spans="1:8" ht="18" customHeight="1">
      <c r="A38" s="147">
        <f>'NACA 4-Disit'!A33</f>
        <v>0.05</v>
      </c>
      <c r="B38" s="148">
        <f t="shared" si="0"/>
        <v>0.03851</v>
      </c>
      <c r="C38" s="149">
        <f t="shared" si="1"/>
        <v>-0.03851</v>
      </c>
      <c r="D38" s="150">
        <f t="shared" si="2"/>
        <v>0.04315387589776844</v>
      </c>
      <c r="E38" s="151">
        <f t="shared" si="3"/>
        <v>0.0040950000000000005</v>
      </c>
      <c r="F38" s="151">
        <f t="shared" si="4"/>
        <v>0.0005713500000000001</v>
      </c>
      <c r="G38" s="151">
        <f t="shared" si="5"/>
        <v>2.3100000000000006E-05</v>
      </c>
      <c r="H38" s="152">
        <f t="shared" si="6"/>
        <v>4.1237500000000017E-07</v>
      </c>
    </row>
    <row r="39" spans="1:8" ht="18" customHeight="1">
      <c r="A39" s="147">
        <f>'NACA 4-Disit'!A34</f>
        <v>0.075</v>
      </c>
      <c r="B39" s="148">
        <f t="shared" si="0"/>
        <v>0.0455</v>
      </c>
      <c r="C39" s="149">
        <f t="shared" si="1"/>
        <v>-0.0455</v>
      </c>
      <c r="D39" s="150">
        <f t="shared" si="2"/>
        <v>0.052852488186460996</v>
      </c>
      <c r="E39" s="151">
        <f t="shared" si="3"/>
        <v>0.0061424999999999995</v>
      </c>
      <c r="F39" s="151">
        <f t="shared" si="4"/>
        <v>0.0012855375</v>
      </c>
      <c r="G39" s="151">
        <f t="shared" si="5"/>
        <v>7.796249999999999E-05</v>
      </c>
      <c r="H39" s="152">
        <f t="shared" si="6"/>
        <v>2.0876484374999997E-06</v>
      </c>
    </row>
    <row r="40" spans="1:8" ht="18" customHeight="1">
      <c r="A40" s="147">
        <f>'NACA 4-Disit'!A35</f>
        <v>0.1</v>
      </c>
      <c r="B40" s="148">
        <f t="shared" si="0"/>
        <v>0.050732</v>
      </c>
      <c r="C40" s="149">
        <f t="shared" si="1"/>
        <v>-0.050732</v>
      </c>
      <c r="D40" s="150">
        <f t="shared" si="2"/>
        <v>0.06102879656358955</v>
      </c>
      <c r="E40" s="151">
        <f t="shared" si="3"/>
        <v>0.008190000000000001</v>
      </c>
      <c r="F40" s="151">
        <f t="shared" si="4"/>
        <v>0.0022854000000000004</v>
      </c>
      <c r="G40" s="151">
        <f t="shared" si="5"/>
        <v>0.00018480000000000005</v>
      </c>
      <c r="H40" s="152">
        <f t="shared" si="6"/>
        <v>6.598000000000003E-06</v>
      </c>
    </row>
    <row r="41" spans="1:8" ht="18" customHeight="1">
      <c r="A41" s="147">
        <f>'NACA 4-Disit'!A36</f>
        <v>0.15</v>
      </c>
      <c r="B41" s="148">
        <f t="shared" si="0"/>
        <v>0.057908</v>
      </c>
      <c r="C41" s="149">
        <f t="shared" si="1"/>
        <v>-0.057908</v>
      </c>
      <c r="D41" s="150">
        <f t="shared" si="2"/>
        <v>0.07474470559845695</v>
      </c>
      <c r="E41" s="151">
        <f t="shared" si="3"/>
        <v>0.012284999999999999</v>
      </c>
      <c r="F41" s="151">
        <f t="shared" si="4"/>
        <v>0.00514215</v>
      </c>
      <c r="G41" s="151">
        <f t="shared" si="5"/>
        <v>0.0006236999999999999</v>
      </c>
      <c r="H41" s="152">
        <f t="shared" si="6"/>
        <v>3.3402374999999995E-05</v>
      </c>
    </row>
    <row r="42" spans="1:8" ht="18" customHeight="1">
      <c r="A42" s="147">
        <f>'NACA 4-Disit'!A37</f>
        <v>0.2</v>
      </c>
      <c r="B42" s="148">
        <f t="shared" si="0"/>
        <v>0.062159</v>
      </c>
      <c r="C42" s="149">
        <f t="shared" si="1"/>
        <v>-0.062159</v>
      </c>
      <c r="D42" s="150">
        <f t="shared" si="2"/>
        <v>0.08630775179553687</v>
      </c>
      <c r="E42" s="151">
        <f t="shared" si="3"/>
        <v>0.016380000000000002</v>
      </c>
      <c r="F42" s="151">
        <f t="shared" si="4"/>
        <v>0.009141600000000001</v>
      </c>
      <c r="G42" s="151">
        <f t="shared" si="5"/>
        <v>0.0014784000000000004</v>
      </c>
      <c r="H42" s="152">
        <f t="shared" si="6"/>
        <v>0.00010556800000000004</v>
      </c>
    </row>
    <row r="43" spans="1:8" ht="18" customHeight="1">
      <c r="A43" s="147">
        <f>'NACA 4-Disit'!A38</f>
        <v>0.25</v>
      </c>
      <c r="B43" s="148">
        <f t="shared" si="0"/>
        <v>0.064366</v>
      </c>
      <c r="C43" s="149">
        <f t="shared" si="1"/>
        <v>-0.064366</v>
      </c>
      <c r="D43" s="150">
        <f t="shared" si="2"/>
        <v>0.096495</v>
      </c>
      <c r="E43" s="151">
        <f t="shared" si="3"/>
        <v>0.020475</v>
      </c>
      <c r="F43" s="151">
        <f t="shared" si="4"/>
        <v>0.01428375</v>
      </c>
      <c r="G43" s="151">
        <f t="shared" si="5"/>
        <v>0.0028875</v>
      </c>
      <c r="H43" s="152">
        <f t="shared" si="6"/>
        <v>0.000257734375</v>
      </c>
    </row>
    <row r="44" spans="1:8" ht="18" customHeight="1">
      <c r="A44" s="147">
        <f>'NACA 4-Disit'!A39</f>
        <v>0.3</v>
      </c>
      <c r="B44" s="148">
        <f t="shared" si="0"/>
        <v>0.065022</v>
      </c>
      <c r="C44" s="149">
        <f t="shared" si="1"/>
        <v>-0.065022</v>
      </c>
      <c r="D44" s="150">
        <f t="shared" si="2"/>
        <v>0.10570497637292199</v>
      </c>
      <c r="E44" s="151">
        <f t="shared" si="3"/>
        <v>0.024569999999999998</v>
      </c>
      <c r="F44" s="151">
        <f t="shared" si="4"/>
        <v>0.0205686</v>
      </c>
      <c r="G44" s="151">
        <f t="shared" si="5"/>
        <v>0.004989599999999999</v>
      </c>
      <c r="H44" s="152">
        <f t="shared" si="6"/>
        <v>0.0005344379999999999</v>
      </c>
    </row>
    <row r="45" spans="1:8" ht="18" customHeight="1">
      <c r="A45" s="147">
        <f>'NACA 4-Disit'!A40</f>
        <v>0.35</v>
      </c>
      <c r="B45" s="148">
        <f t="shared" si="0"/>
        <v>0.064446</v>
      </c>
      <c r="C45" s="149">
        <f t="shared" si="1"/>
        <v>-0.064446</v>
      </c>
      <c r="D45" s="150">
        <f t="shared" si="2"/>
        <v>0.11417442373403948</v>
      </c>
      <c r="E45" s="151">
        <f t="shared" si="3"/>
        <v>0.028665</v>
      </c>
      <c r="F45" s="151">
        <f t="shared" si="4"/>
        <v>0.027996149999999994</v>
      </c>
      <c r="G45" s="151">
        <f t="shared" si="5"/>
        <v>0.007923299999999998</v>
      </c>
      <c r="H45" s="152">
        <f t="shared" si="6"/>
        <v>0.0009901123749999996</v>
      </c>
    </row>
    <row r="46" spans="1:8" ht="18" customHeight="1">
      <c r="A46" s="147">
        <f>'NACA 4-Disit'!A41</f>
        <v>0.4</v>
      </c>
      <c r="B46" s="148">
        <f t="shared" si="0"/>
        <v>0.062869</v>
      </c>
      <c r="C46" s="149">
        <f t="shared" si="1"/>
        <v>-0.062869</v>
      </c>
      <c r="D46" s="150">
        <f t="shared" si="2"/>
        <v>0.1220575931271791</v>
      </c>
      <c r="E46" s="151">
        <f t="shared" si="3"/>
        <v>0.032760000000000004</v>
      </c>
      <c r="F46" s="151">
        <f t="shared" si="4"/>
        <v>0.036566400000000006</v>
      </c>
      <c r="G46" s="151">
        <f t="shared" si="5"/>
        <v>0.011827200000000003</v>
      </c>
      <c r="H46" s="152">
        <f t="shared" si="6"/>
        <v>0.0016890880000000007</v>
      </c>
    </row>
    <row r="47" spans="1:8" ht="18" customHeight="1">
      <c r="A47" s="147">
        <f>'NACA 4-Disit'!A42</f>
        <v>0.45</v>
      </c>
      <c r="B47" s="148">
        <f t="shared" si="0"/>
        <v>0.060462</v>
      </c>
      <c r="C47" s="149">
        <f t="shared" si="1"/>
        <v>-0.060462</v>
      </c>
      <c r="D47" s="150">
        <f t="shared" si="2"/>
        <v>0.12946162769330533</v>
      </c>
      <c r="E47" s="151">
        <f t="shared" si="3"/>
        <v>0.036855</v>
      </c>
      <c r="F47" s="151">
        <f t="shared" si="4"/>
        <v>0.046279350000000004</v>
      </c>
      <c r="G47" s="151">
        <f t="shared" si="5"/>
        <v>0.0168399</v>
      </c>
      <c r="H47" s="152">
        <f t="shared" si="6"/>
        <v>0.0027055923750000004</v>
      </c>
    </row>
    <row r="48" spans="1:8" ht="18" customHeight="1">
      <c r="A48" s="147">
        <f>'NACA 4-Disit'!A43</f>
        <v>0.5</v>
      </c>
      <c r="B48" s="148">
        <f t="shared" si="0"/>
        <v>0.057356</v>
      </c>
      <c r="C48" s="149">
        <f t="shared" si="1"/>
        <v>-0.057356</v>
      </c>
      <c r="D48" s="150">
        <f t="shared" si="2"/>
        <v>0.13646453770119182</v>
      </c>
      <c r="E48" s="151">
        <f t="shared" si="3"/>
        <v>0.04095</v>
      </c>
      <c r="F48" s="151">
        <f t="shared" si="4"/>
        <v>0.057135</v>
      </c>
      <c r="G48" s="151">
        <f t="shared" si="5"/>
        <v>0.0231</v>
      </c>
      <c r="H48" s="152">
        <f t="shared" si="6"/>
        <v>0.00412375</v>
      </c>
    </row>
    <row r="49" spans="1:8" ht="18" customHeight="1">
      <c r="A49" s="147">
        <f>'NACA 4-Disit'!A44</f>
        <v>0.55</v>
      </c>
      <c r="B49" s="148">
        <f t="shared" si="0"/>
        <v>0.053655</v>
      </c>
      <c r="C49" s="149">
        <f t="shared" si="1"/>
        <v>-0.053655</v>
      </c>
      <c r="D49" s="150">
        <f t="shared" si="2"/>
        <v>0.1431252146024592</v>
      </c>
      <c r="E49" s="151">
        <f t="shared" si="3"/>
        <v>0.045045</v>
      </c>
      <c r="F49" s="151">
        <f t="shared" si="4"/>
        <v>0.06913335000000001</v>
      </c>
      <c r="G49" s="151">
        <f t="shared" si="5"/>
        <v>0.03074610000000001</v>
      </c>
      <c r="H49" s="152">
        <f t="shared" si="6"/>
        <v>0.006037582375000001</v>
      </c>
    </row>
    <row r="50" spans="1:8" ht="18" customHeight="1">
      <c r="A50" s="147">
        <f>'NACA 4-Disit'!A45</f>
        <v>0.6</v>
      </c>
      <c r="B50" s="148">
        <f t="shared" si="0"/>
        <v>0.049441</v>
      </c>
      <c r="C50" s="149">
        <f t="shared" si="1"/>
        <v>-0.049441</v>
      </c>
      <c r="D50" s="150">
        <f t="shared" si="2"/>
        <v>0.1494894111969139</v>
      </c>
      <c r="E50" s="151">
        <f t="shared" si="3"/>
        <v>0.049139999999999996</v>
      </c>
      <c r="F50" s="151">
        <f t="shared" si="4"/>
        <v>0.0822744</v>
      </c>
      <c r="G50" s="151">
        <f t="shared" si="5"/>
        <v>0.039916799999999995</v>
      </c>
      <c r="H50" s="152">
        <f t="shared" si="6"/>
        <v>0.008551007999999999</v>
      </c>
    </row>
    <row r="51" spans="1:8" ht="18" customHeight="1">
      <c r="A51" s="147">
        <f>'NACA 4-Disit'!A46</f>
        <v>0.65</v>
      </c>
      <c r="B51" s="148">
        <f t="shared" si="0"/>
        <v>0.044773</v>
      </c>
      <c r="C51" s="149">
        <f t="shared" si="1"/>
        <v>-0.044773</v>
      </c>
      <c r="D51" s="150">
        <f t="shared" si="2"/>
        <v>0.1555935122844137</v>
      </c>
      <c r="E51" s="151">
        <f t="shared" si="3"/>
        <v>0.053235000000000005</v>
      </c>
      <c r="F51" s="151">
        <f t="shared" si="4"/>
        <v>0.09655815000000001</v>
      </c>
      <c r="G51" s="151">
        <f t="shared" si="5"/>
        <v>0.05075070000000001</v>
      </c>
      <c r="H51" s="152">
        <f t="shared" si="6"/>
        <v>0.011777842375000002</v>
      </c>
    </row>
    <row r="52" spans="1:8" ht="18" customHeight="1">
      <c r="A52" s="147">
        <f>'NACA 4-Disit'!A47</f>
        <v>0.7</v>
      </c>
      <c r="B52" s="148">
        <f t="shared" si="0"/>
        <v>0.039697</v>
      </c>
      <c r="C52" s="149">
        <f t="shared" si="1"/>
        <v>-0.039697</v>
      </c>
      <c r="D52" s="150">
        <f t="shared" si="2"/>
        <v>0.16146701852081125</v>
      </c>
      <c r="E52" s="151">
        <f t="shared" si="3"/>
        <v>0.05733</v>
      </c>
      <c r="F52" s="151">
        <f t="shared" si="4"/>
        <v>0.11198459999999998</v>
      </c>
      <c r="G52" s="151">
        <f t="shared" si="5"/>
        <v>0.06338639999999998</v>
      </c>
      <c r="H52" s="152">
        <f t="shared" si="6"/>
        <v>0.015841797999999994</v>
      </c>
    </row>
    <row r="53" spans="1:8" ht="18" customHeight="1">
      <c r="A53" s="147">
        <f>'NACA 4-Disit'!A48</f>
        <v>0.75</v>
      </c>
      <c r="B53" s="148">
        <f t="shared" si="0"/>
        <v>0.034242</v>
      </c>
      <c r="C53" s="149">
        <f t="shared" si="1"/>
        <v>-0.034242</v>
      </c>
      <c r="D53" s="150">
        <f t="shared" si="2"/>
        <v>0.1671342426763588</v>
      </c>
      <c r="E53" s="151">
        <f t="shared" si="3"/>
        <v>0.061425</v>
      </c>
      <c r="F53" s="151">
        <f t="shared" si="4"/>
        <v>0.12855375</v>
      </c>
      <c r="G53" s="151">
        <f t="shared" si="5"/>
        <v>0.07796249999999999</v>
      </c>
      <c r="H53" s="152">
        <f t="shared" si="6"/>
        <v>0.020876484375</v>
      </c>
    </row>
    <row r="54" spans="1:8" ht="18" customHeight="1">
      <c r="A54" s="147">
        <f>'NACA 4-Disit'!A49</f>
        <v>0.8</v>
      </c>
      <c r="B54" s="148">
        <f t="shared" si="0"/>
        <v>0.028422</v>
      </c>
      <c r="C54" s="149">
        <f t="shared" si="1"/>
        <v>-0.028422</v>
      </c>
      <c r="D54" s="150">
        <f t="shared" si="2"/>
        <v>0.17261550359107375</v>
      </c>
      <c r="E54" s="151">
        <f t="shared" si="3"/>
        <v>0.06552000000000001</v>
      </c>
      <c r="F54" s="151">
        <f t="shared" si="4"/>
        <v>0.14626560000000002</v>
      </c>
      <c r="G54" s="151">
        <f t="shared" si="5"/>
        <v>0.09461760000000002</v>
      </c>
      <c r="H54" s="152">
        <f t="shared" si="6"/>
        <v>0.02702540800000001</v>
      </c>
    </row>
    <row r="55" spans="1:8" ht="18" customHeight="1">
      <c r="A55" s="147">
        <f>'NACA 4-Disit'!A50</f>
        <v>0.85</v>
      </c>
      <c r="B55" s="148">
        <f t="shared" si="0"/>
        <v>0.022241</v>
      </c>
      <c r="C55" s="149">
        <f t="shared" si="1"/>
        <v>-0.022241</v>
      </c>
      <c r="D55" s="150">
        <f t="shared" si="2"/>
        <v>0.17792798848129543</v>
      </c>
      <c r="E55" s="151">
        <f t="shared" si="3"/>
        <v>0.069615</v>
      </c>
      <c r="F55" s="151">
        <f t="shared" si="4"/>
        <v>0.16512014999999997</v>
      </c>
      <c r="G55" s="151">
        <f t="shared" si="5"/>
        <v>0.11349029999999997</v>
      </c>
      <c r="H55" s="152">
        <f t="shared" si="6"/>
        <v>0.03444197237499999</v>
      </c>
    </row>
    <row r="56" spans="1:8" ht="18" customHeight="1">
      <c r="A56" s="147">
        <f>'NACA 4-Disit'!A51</f>
        <v>0.9</v>
      </c>
      <c r="B56" s="148">
        <f t="shared" si="0"/>
        <v>0.015689</v>
      </c>
      <c r="C56" s="149">
        <f t="shared" si="1"/>
        <v>-0.015689</v>
      </c>
      <c r="D56" s="150">
        <f t="shared" si="2"/>
        <v>0.18308638969076865</v>
      </c>
      <c r="E56" s="151">
        <f t="shared" si="3"/>
        <v>0.07371</v>
      </c>
      <c r="F56" s="151">
        <f t="shared" si="4"/>
        <v>0.18511740000000002</v>
      </c>
      <c r="G56" s="151">
        <f t="shared" si="5"/>
        <v>0.1347192</v>
      </c>
      <c r="H56" s="152">
        <f t="shared" si="6"/>
        <v>0.043289478000000006</v>
      </c>
    </row>
    <row r="57" spans="1:8" ht="18" customHeight="1">
      <c r="A57" s="147">
        <f>'NACA 4-Disit'!A52</f>
        <v>0.95</v>
      </c>
      <c r="B57" s="148">
        <f t="shared" si="0"/>
        <v>0.008743</v>
      </c>
      <c r="C57" s="149">
        <f t="shared" si="1"/>
        <v>-0.008743</v>
      </c>
      <c r="D57" s="150">
        <f t="shared" si="2"/>
        <v>0.18810338406046817</v>
      </c>
      <c r="E57" s="151">
        <f t="shared" si="3"/>
        <v>0.077805</v>
      </c>
      <c r="F57" s="151">
        <f t="shared" si="4"/>
        <v>0.20625734999999998</v>
      </c>
      <c r="G57" s="151">
        <f t="shared" si="5"/>
        <v>0.15844289999999997</v>
      </c>
      <c r="H57" s="152">
        <f t="shared" si="6"/>
        <v>0.053741122375</v>
      </c>
    </row>
    <row r="58" spans="1:8" ht="18" customHeight="1">
      <c r="A58" s="153">
        <f>'NACA 4-Disit'!A53</f>
        <v>1</v>
      </c>
      <c r="B58" s="154">
        <f t="shared" si="0"/>
        <v>0.00137</v>
      </c>
      <c r="C58" s="155">
        <f t="shared" si="1"/>
        <v>-0.00137</v>
      </c>
      <c r="D58" s="156">
        <f t="shared" si="2"/>
        <v>0.19299</v>
      </c>
      <c r="E58" s="157">
        <f t="shared" si="3"/>
        <v>0.0819</v>
      </c>
      <c r="F58" s="157">
        <f t="shared" si="4"/>
        <v>0.22854</v>
      </c>
      <c r="G58" s="157">
        <f t="shared" si="5"/>
        <v>0.1848</v>
      </c>
      <c r="H58" s="158">
        <f t="shared" si="6"/>
        <v>0.06598</v>
      </c>
    </row>
  </sheetData>
  <sheetProtection password="C9DF" sheet="1" objects="1" scenarios="1"/>
  <mergeCells count="1">
    <mergeCell ref="F1:G1"/>
  </mergeCells>
  <dataValidations count="1">
    <dataValidation type="decimal" allowBlank="1" showInputMessage="1" showErrorMessage="1" sqref="A28">
      <formula1>0</formula1>
      <formula2>0.3</formula2>
    </dataValidation>
  </dataValidations>
  <printOptions/>
  <pageMargins left="1" right="0.29" top="1.37" bottom="0.44" header="0.84" footer="0.4"/>
  <pageSetup fitToHeight="1" fitToWidth="1" horizontalDpi="600" verticalDpi="600" orientation="portrait" paperSize="9" scale="84" r:id="rId10"/>
  <headerFooter alignWithMargins="0">
    <oddHeader>&amp;C&amp;"Arial Black,標準"&amp;24NACA 4-&amp;28Disit Airfoil Thickness</oddHeader>
  </headerFooter>
  <drawing r:id="rId9"/>
  <legacyDrawing r:id="rId8"/>
  <oleObjects>
    <oleObject progId="Equation.3" shapeId="482656" r:id="rId1"/>
    <oleObject progId="Equation.3" shapeId="482657" r:id="rId2"/>
    <oleObject progId="Equation.3" shapeId="482658" r:id="rId3"/>
    <oleObject progId="Equation.3" shapeId="482659" r:id="rId4"/>
    <oleObject progId="Equation.3" shapeId="482660" r:id="rId5"/>
    <oleObject progId="Equation.3" shapeId="482661" r:id="rId6"/>
    <oleObject progId="Equation.3" shapeId="482662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.625" style="83" customWidth="1"/>
    <col min="2" max="7" width="13.25390625" style="83" customWidth="1"/>
    <col min="8" max="8" width="6.375" style="83" customWidth="1"/>
    <col min="9" max="9" width="10.75390625" style="83" customWidth="1"/>
    <col min="10" max="10" width="2.75390625" style="83" customWidth="1"/>
    <col min="11" max="11" width="12.00390625" style="83" bestFit="1" customWidth="1"/>
    <col min="12" max="16384" width="10.25390625" style="83" customWidth="1"/>
  </cols>
  <sheetData>
    <row r="1" spans="2:5" ht="23.25">
      <c r="B1" s="159" t="s">
        <v>76</v>
      </c>
      <c r="C1" s="160" t="s">
        <v>77</v>
      </c>
      <c r="D1" s="161"/>
      <c r="E1" s="162" t="s">
        <v>78</v>
      </c>
    </row>
    <row r="2" spans="2:5" ht="20.25">
      <c r="B2" s="163">
        <f>'NACA 4-Disit'!J2</f>
        <v>0.02</v>
      </c>
      <c r="C2" s="164">
        <f>'NACA 4-Disit'!K2</f>
        <v>0.2</v>
      </c>
      <c r="D2" s="165"/>
      <c r="E2" s="166" t="s">
        <v>79</v>
      </c>
    </row>
    <row r="11" ht="14.25"/>
    <row r="12" ht="14.25">
      <c r="H12" s="167" t="s">
        <v>80</v>
      </c>
    </row>
    <row r="13" ht="14.25">
      <c r="D13" s="83" t="s">
        <v>81</v>
      </c>
    </row>
    <row r="14" ht="13.5" customHeight="1"/>
    <row r="15" ht="14.25"/>
    <row r="16" ht="13.5" customHeight="1"/>
    <row r="17" spans="3:7" ht="13.5" customHeight="1">
      <c r="C17" s="168"/>
      <c r="G17" s="167" t="s">
        <v>82</v>
      </c>
    </row>
    <row r="18" ht="14.25"/>
    <row r="19" ht="14.25">
      <c r="I19" s="356" t="s">
        <v>83</v>
      </c>
    </row>
    <row r="20" ht="14.25">
      <c r="I20" s="357"/>
    </row>
    <row r="21" ht="14.25">
      <c r="I21" s="358">
        <f>IF($C$2=0,0,$B$2/($C$2^2))</f>
        <v>0.4999999999999999</v>
      </c>
    </row>
    <row r="22" ht="14.25">
      <c r="I22" s="359"/>
    </row>
    <row r="23" spans="1:9" ht="26.25">
      <c r="A23" s="169"/>
      <c r="B23" s="170" t="s">
        <v>73</v>
      </c>
      <c r="C23" s="171" t="s">
        <v>84</v>
      </c>
      <c r="D23" s="172" t="s">
        <v>85</v>
      </c>
      <c r="E23" s="173" t="s">
        <v>82</v>
      </c>
      <c r="F23" s="174" t="s">
        <v>86</v>
      </c>
      <c r="G23" s="175" t="s">
        <v>87</v>
      </c>
      <c r="I23" s="356" t="s">
        <v>88</v>
      </c>
    </row>
    <row r="24" spans="2:9" ht="13.5">
      <c r="B24" s="176">
        <f>'NACA 4-Disit'!A28</f>
        <v>0</v>
      </c>
      <c r="C24" s="177">
        <f aca="true" t="shared" si="0" ref="C24:C49">IF(B24&lt;$C$2,D24,E24)</f>
        <v>0</v>
      </c>
      <c r="D24" s="178">
        <f aca="true" t="shared" si="1" ref="D24:D49">$I$21*($I$25*$B24-$B24^2)</f>
        <v>0</v>
      </c>
      <c r="E24" s="179">
        <f aca="true" t="shared" si="2" ref="E24:E49">$I$29*($I$33+$I$25*$B24-$B24^2)</f>
        <v>0.018749999999999996</v>
      </c>
      <c r="F24" s="178">
        <f aca="true" t="shared" si="3" ref="F24:F49">ATAN(G24)</f>
        <v>0.19739555984988072</v>
      </c>
      <c r="G24" s="180">
        <f aca="true" t="shared" si="4" ref="G24:G49">IF(B24&lt;=$C$2,$I$21*($I$25-(2*B24)),$I$29*($I$25-(2*B24)))</f>
        <v>0.19999999999999996</v>
      </c>
      <c r="I24" s="357"/>
    </row>
    <row r="25" spans="2:9" ht="16.5" customHeight="1">
      <c r="B25" s="181">
        <f>'NACA 4-Disit'!A29</f>
        <v>0.003125</v>
      </c>
      <c r="C25" s="182">
        <f t="shared" si="0"/>
        <v>0.0006201171875</v>
      </c>
      <c r="D25" s="183">
        <f t="shared" si="1"/>
        <v>0.0006201171875</v>
      </c>
      <c r="E25" s="184">
        <f t="shared" si="2"/>
        <v>0.018788757324218745</v>
      </c>
      <c r="F25" s="183">
        <f t="shared" si="3"/>
        <v>0.19438895435747947</v>
      </c>
      <c r="G25" s="185">
        <f t="shared" si="4"/>
        <v>0.19687499999999997</v>
      </c>
      <c r="I25" s="360">
        <f>2*$C$2</f>
        <v>0.4</v>
      </c>
    </row>
    <row r="26" spans="2:9" ht="16.5" customHeight="1">
      <c r="B26" s="181">
        <f>'NACA 4-Disit'!A30</f>
        <v>0.00625</v>
      </c>
      <c r="C26" s="182">
        <f t="shared" si="0"/>
        <v>0.00123046875</v>
      </c>
      <c r="D26" s="183">
        <f t="shared" si="1"/>
        <v>0.00123046875</v>
      </c>
      <c r="E26" s="184">
        <f t="shared" si="2"/>
        <v>0.018826904296874995</v>
      </c>
      <c r="F26" s="183">
        <f t="shared" si="3"/>
        <v>0.1913787852844245</v>
      </c>
      <c r="G26" s="185">
        <f t="shared" si="4"/>
        <v>0.19374999999999995</v>
      </c>
      <c r="I26" s="361"/>
    </row>
    <row r="27" spans="1:9" s="169" customFormat="1" ht="16.5" customHeight="1">
      <c r="A27" s="83"/>
      <c r="B27" s="181">
        <f>'NACA 4-Disit'!A31</f>
        <v>0.0125</v>
      </c>
      <c r="C27" s="182">
        <f t="shared" si="0"/>
        <v>0.002421875</v>
      </c>
      <c r="D27" s="183">
        <f t="shared" si="1"/>
        <v>0.002421875</v>
      </c>
      <c r="E27" s="184">
        <f t="shared" si="2"/>
        <v>0.018901367187499997</v>
      </c>
      <c r="F27" s="183">
        <f t="shared" si="3"/>
        <v>0.1853479499956947</v>
      </c>
      <c r="G27" s="185">
        <f t="shared" si="4"/>
        <v>0.18749999999999994</v>
      </c>
      <c r="H27" s="186"/>
      <c r="I27" s="354" t="s">
        <v>89</v>
      </c>
    </row>
    <row r="28" spans="2:9" ht="16.5" customHeight="1">
      <c r="B28" s="181">
        <f>'NACA 4-Disit'!A32</f>
        <v>0.025</v>
      </c>
      <c r="C28" s="182">
        <f t="shared" si="0"/>
        <v>0.0046875</v>
      </c>
      <c r="D28" s="183">
        <f t="shared" si="1"/>
        <v>0.0046875</v>
      </c>
      <c r="E28" s="184">
        <f t="shared" si="2"/>
        <v>0.019042968749999997</v>
      </c>
      <c r="F28" s="183">
        <f t="shared" si="3"/>
        <v>0.17324566645236494</v>
      </c>
      <c r="G28" s="185">
        <f t="shared" si="4"/>
        <v>0.175</v>
      </c>
      <c r="H28" s="187"/>
      <c r="I28" s="355"/>
    </row>
    <row r="29" spans="2:9" ht="16.5" customHeight="1">
      <c r="B29" s="181">
        <f>'NACA 4-Disit'!A33</f>
        <v>0.05</v>
      </c>
      <c r="C29" s="182">
        <f t="shared" si="0"/>
        <v>0.008749999999999999</v>
      </c>
      <c r="D29" s="183">
        <f t="shared" si="1"/>
        <v>0.008749999999999999</v>
      </c>
      <c r="E29" s="184">
        <f t="shared" si="2"/>
        <v>0.019296874999999998</v>
      </c>
      <c r="F29" s="183">
        <f t="shared" si="3"/>
        <v>0.14888994760949725</v>
      </c>
      <c r="G29" s="185">
        <f t="shared" si="4"/>
        <v>0.15</v>
      </c>
      <c r="H29" s="187"/>
      <c r="I29" s="352">
        <f>$B$2/((1-$C$2)^2)</f>
        <v>0.031249999999999993</v>
      </c>
    </row>
    <row r="30" spans="2:9" ht="16.5" customHeight="1">
      <c r="B30" s="181">
        <f>'NACA 4-Disit'!A34</f>
        <v>0.075</v>
      </c>
      <c r="C30" s="182">
        <f t="shared" si="0"/>
        <v>0.012187499999999997</v>
      </c>
      <c r="D30" s="183">
        <f t="shared" si="1"/>
        <v>0.012187499999999997</v>
      </c>
      <c r="E30" s="184">
        <f t="shared" si="2"/>
        <v>0.019511718749999997</v>
      </c>
      <c r="F30" s="183">
        <f t="shared" si="3"/>
        <v>0.12435499454676141</v>
      </c>
      <c r="G30" s="185">
        <f t="shared" si="4"/>
        <v>0.12499999999999997</v>
      </c>
      <c r="H30" s="187"/>
      <c r="I30" s="353"/>
    </row>
    <row r="31" spans="2:9" ht="16.5" customHeight="1">
      <c r="B31" s="181">
        <f>'NACA 4-Disit'!A35</f>
        <v>0.1</v>
      </c>
      <c r="C31" s="182">
        <f t="shared" si="0"/>
        <v>0.015</v>
      </c>
      <c r="D31" s="183">
        <f t="shared" si="1"/>
        <v>0.015</v>
      </c>
      <c r="E31" s="184">
        <f t="shared" si="2"/>
        <v>0.019687499999999997</v>
      </c>
      <c r="F31" s="183">
        <f t="shared" si="3"/>
        <v>0.09966865249116201</v>
      </c>
      <c r="G31" s="185">
        <f t="shared" si="4"/>
        <v>0.09999999999999998</v>
      </c>
      <c r="H31" s="187"/>
      <c r="I31" s="354" t="s">
        <v>90</v>
      </c>
    </row>
    <row r="32" spans="2:9" ht="16.5" customHeight="1">
      <c r="B32" s="181">
        <f>'NACA 4-Disit'!A36</f>
        <v>0.15</v>
      </c>
      <c r="C32" s="182">
        <f t="shared" si="0"/>
        <v>0.018749999999999996</v>
      </c>
      <c r="D32" s="183">
        <f t="shared" si="1"/>
        <v>0.018749999999999996</v>
      </c>
      <c r="E32" s="184">
        <f t="shared" si="2"/>
        <v>0.019921874999999995</v>
      </c>
      <c r="F32" s="183">
        <f t="shared" si="3"/>
        <v>0.049958395721942765</v>
      </c>
      <c r="G32" s="185">
        <f t="shared" si="4"/>
        <v>0.05</v>
      </c>
      <c r="H32" s="187"/>
      <c r="I32" s="355"/>
    </row>
    <row r="33" spans="2:9" ht="16.5" customHeight="1">
      <c r="B33" s="181">
        <f>'NACA 4-Disit'!A37</f>
        <v>0.2</v>
      </c>
      <c r="C33" s="182">
        <f t="shared" si="0"/>
        <v>0.019999999999999993</v>
      </c>
      <c r="D33" s="183">
        <f t="shared" si="1"/>
        <v>0.02</v>
      </c>
      <c r="E33" s="184">
        <f t="shared" si="2"/>
        <v>0.019999999999999993</v>
      </c>
      <c r="F33" s="183">
        <f t="shared" si="3"/>
        <v>0</v>
      </c>
      <c r="G33" s="185">
        <f t="shared" si="4"/>
        <v>0</v>
      </c>
      <c r="H33" s="187"/>
      <c r="I33" s="352">
        <f>1-I25</f>
        <v>0.6</v>
      </c>
    </row>
    <row r="34" spans="2:9" ht="16.5" customHeight="1">
      <c r="B34" s="181">
        <f>'NACA 4-Disit'!A38</f>
        <v>0.25</v>
      </c>
      <c r="C34" s="182">
        <f t="shared" si="0"/>
        <v>0.019921874999999995</v>
      </c>
      <c r="D34" s="183">
        <f t="shared" si="1"/>
        <v>0.01875</v>
      </c>
      <c r="E34" s="184">
        <f t="shared" si="2"/>
        <v>0.019921874999999995</v>
      </c>
      <c r="F34" s="183">
        <f t="shared" si="3"/>
        <v>-0.003124989827533561</v>
      </c>
      <c r="G34" s="185">
        <f t="shared" si="4"/>
        <v>-0.0031249999999999984</v>
      </c>
      <c r="H34" s="187"/>
      <c r="I34" s="353"/>
    </row>
    <row r="35" spans="2:9" ht="16.5" customHeight="1">
      <c r="B35" s="181">
        <f>'NACA 4-Disit'!A39</f>
        <v>0.3</v>
      </c>
      <c r="C35" s="182">
        <f t="shared" si="0"/>
        <v>0.019687499999999997</v>
      </c>
      <c r="D35" s="183">
        <f t="shared" si="1"/>
        <v>0.014999999999999996</v>
      </c>
      <c r="E35" s="184">
        <f t="shared" si="2"/>
        <v>0.019687499999999997</v>
      </c>
      <c r="F35" s="183">
        <f t="shared" si="3"/>
        <v>-0.006249918621698959</v>
      </c>
      <c r="G35" s="185">
        <f t="shared" si="4"/>
        <v>-0.006249999999999997</v>
      </c>
      <c r="H35" s="187"/>
      <c r="I35" s="354" t="s">
        <v>91</v>
      </c>
    </row>
    <row r="36" spans="2:9" ht="16.5" customHeight="1">
      <c r="B36" s="181">
        <f>'NACA 4-Disit'!A40</f>
        <v>0.35</v>
      </c>
      <c r="C36" s="182">
        <f t="shared" si="0"/>
        <v>0.019296874999999998</v>
      </c>
      <c r="D36" s="183">
        <f t="shared" si="1"/>
        <v>0.008749999999999999</v>
      </c>
      <c r="E36" s="184">
        <f t="shared" si="2"/>
        <v>0.019296874999999998</v>
      </c>
      <c r="F36" s="183">
        <f t="shared" si="3"/>
        <v>-0.009374725356279891</v>
      </c>
      <c r="G36" s="185">
        <f t="shared" si="4"/>
        <v>-0.009374999999999996</v>
      </c>
      <c r="H36" s="187"/>
      <c r="I36" s="355"/>
    </row>
    <row r="37" spans="2:9" ht="16.5" customHeight="1">
      <c r="B37" s="181">
        <f>'NACA 4-Disit'!A41</f>
        <v>0.4</v>
      </c>
      <c r="C37" s="182">
        <f t="shared" si="0"/>
        <v>0.018749999999999996</v>
      </c>
      <c r="D37" s="183">
        <f t="shared" si="1"/>
        <v>0</v>
      </c>
      <c r="E37" s="184">
        <f t="shared" si="2"/>
        <v>0.018749999999999996</v>
      </c>
      <c r="F37" s="183">
        <f t="shared" si="3"/>
        <v>-0.012499349019361675</v>
      </c>
      <c r="G37" s="185">
        <f t="shared" si="4"/>
        <v>-0.012499999999999997</v>
      </c>
      <c r="H37" s="187"/>
      <c r="I37" s="352">
        <f>IF($C$2=0,0,(2*$B$2)/$C$2)</f>
        <v>0.19999999999999998</v>
      </c>
    </row>
    <row r="38" spans="2:9" ht="16.5" customHeight="1">
      <c r="B38" s="181">
        <f>'NACA 4-Disit'!A42</f>
        <v>0.45</v>
      </c>
      <c r="C38" s="182">
        <f t="shared" si="0"/>
        <v>0.018046874999999997</v>
      </c>
      <c r="D38" s="183">
        <f t="shared" si="1"/>
        <v>-0.011249999999999994</v>
      </c>
      <c r="E38" s="184">
        <f t="shared" si="2"/>
        <v>0.018046874999999997</v>
      </c>
      <c r="F38" s="183">
        <f t="shared" si="3"/>
        <v>-0.015623728620476828</v>
      </c>
      <c r="G38" s="185">
        <f t="shared" si="4"/>
        <v>-0.015624999999999997</v>
      </c>
      <c r="H38" s="187"/>
      <c r="I38" s="353"/>
    </row>
    <row r="39" spans="2:9" ht="16.5" customHeight="1">
      <c r="B39" s="181">
        <f>'NACA 4-Disit'!A43</f>
        <v>0.5</v>
      </c>
      <c r="C39" s="182">
        <f t="shared" si="0"/>
        <v>0.017187499999999998</v>
      </c>
      <c r="D39" s="183">
        <f t="shared" si="1"/>
        <v>-0.024999999999999988</v>
      </c>
      <c r="E39" s="184">
        <f t="shared" si="2"/>
        <v>0.017187499999999998</v>
      </c>
      <c r="F39" s="183">
        <f t="shared" si="3"/>
        <v>-0.018747803197744356</v>
      </c>
      <c r="G39" s="185">
        <f t="shared" si="4"/>
        <v>-0.018749999999999996</v>
      </c>
      <c r="H39" s="187"/>
      <c r="I39" s="354" t="s">
        <v>92</v>
      </c>
    </row>
    <row r="40" spans="2:9" ht="16.5" customHeight="1">
      <c r="B40" s="181">
        <f>'NACA 4-Disit'!A44</f>
        <v>0.55</v>
      </c>
      <c r="C40" s="182">
        <f t="shared" si="0"/>
        <v>0.016171875</v>
      </c>
      <c r="D40" s="183">
        <f t="shared" si="1"/>
        <v>-0.04125</v>
      </c>
      <c r="E40" s="184">
        <f t="shared" si="2"/>
        <v>0.016171875</v>
      </c>
      <c r="F40" s="183">
        <f t="shared" si="3"/>
        <v>-0.021871511825000696</v>
      </c>
      <c r="G40" s="185">
        <f t="shared" si="4"/>
        <v>-0.021875</v>
      </c>
      <c r="H40" s="187"/>
      <c r="I40" s="355"/>
    </row>
    <row r="41" spans="2:9" ht="16.5" customHeight="1">
      <c r="B41" s="181">
        <f>'NACA 4-Disit'!A45</f>
        <v>0.6</v>
      </c>
      <c r="C41" s="182">
        <f t="shared" si="0"/>
        <v>0.014999999999999996</v>
      </c>
      <c r="D41" s="183">
        <f t="shared" si="1"/>
        <v>-0.059999999999999984</v>
      </c>
      <c r="E41" s="184">
        <f t="shared" si="2"/>
        <v>0.014999999999999996</v>
      </c>
      <c r="F41" s="183">
        <f t="shared" si="3"/>
        <v>-0.02499479361892015</v>
      </c>
      <c r="G41" s="185">
        <f t="shared" si="4"/>
        <v>-0.02499999999999999</v>
      </c>
      <c r="H41" s="187"/>
      <c r="I41" s="352">
        <f>IF($C$2=0,0,$B$2/(2*$C$2^2))</f>
        <v>0.24999999999999994</v>
      </c>
    </row>
    <row r="42" spans="2:9" ht="16.5" customHeight="1">
      <c r="B42" s="181">
        <f>'NACA 4-Disit'!A46</f>
        <v>0.65</v>
      </c>
      <c r="C42" s="182">
        <f t="shared" si="0"/>
        <v>0.013671874999999995</v>
      </c>
      <c r="D42" s="183">
        <f t="shared" si="1"/>
        <v>-0.08125</v>
      </c>
      <c r="E42" s="184">
        <f t="shared" si="2"/>
        <v>0.013671874999999995</v>
      </c>
      <c r="F42" s="183">
        <f t="shared" si="3"/>
        <v>-0.0281175877461229</v>
      </c>
      <c r="G42" s="185">
        <f t="shared" si="4"/>
        <v>-0.028124999999999994</v>
      </c>
      <c r="H42" s="187"/>
      <c r="I42" s="353"/>
    </row>
    <row r="43" spans="2:9" ht="16.5" customHeight="1">
      <c r="B43" s="181">
        <f>'NACA 4-Disit'!A47</f>
        <v>0.7</v>
      </c>
      <c r="C43" s="182">
        <f t="shared" si="0"/>
        <v>0.012187499999999995</v>
      </c>
      <c r="D43" s="183">
        <f t="shared" si="1"/>
        <v>-0.10499999999999995</v>
      </c>
      <c r="E43" s="184">
        <f t="shared" si="2"/>
        <v>0.012187499999999995</v>
      </c>
      <c r="F43" s="183">
        <f t="shared" si="3"/>
        <v>-0.031239833430268267</v>
      </c>
      <c r="G43" s="185">
        <f t="shared" si="4"/>
        <v>-0.03124999999999999</v>
      </c>
      <c r="H43" s="188"/>
      <c r="I43" s="189"/>
    </row>
    <row r="44" spans="2:9" ht="16.5" customHeight="1">
      <c r="B44" s="181">
        <f>'NACA 4-Disit'!A48</f>
        <v>0.75</v>
      </c>
      <c r="C44" s="182">
        <f t="shared" si="0"/>
        <v>0.010546874999999999</v>
      </c>
      <c r="D44" s="183">
        <f t="shared" si="1"/>
        <v>-0.13124999999999995</v>
      </c>
      <c r="E44" s="184">
        <f t="shared" si="2"/>
        <v>0.010546874999999999</v>
      </c>
      <c r="F44" s="183">
        <f t="shared" si="3"/>
        <v>-0.03436146995913146</v>
      </c>
      <c r="G44" s="185">
        <f t="shared" si="4"/>
        <v>-0.034374999999999996</v>
      </c>
      <c r="H44" s="188"/>
      <c r="I44" s="190"/>
    </row>
    <row r="45" spans="2:9" ht="16.5" customHeight="1">
      <c r="B45" s="181">
        <f>'NACA 4-Disit'!A49</f>
        <v>0.8</v>
      </c>
      <c r="C45" s="182">
        <f t="shared" si="0"/>
        <v>0.008749999999999996</v>
      </c>
      <c r="D45" s="183">
        <f t="shared" si="1"/>
        <v>-0.16</v>
      </c>
      <c r="E45" s="184">
        <f t="shared" si="2"/>
        <v>0.008749999999999996</v>
      </c>
      <c r="F45" s="183">
        <f t="shared" si="3"/>
        <v>-0.037482436691661486</v>
      </c>
      <c r="G45" s="185">
        <f t="shared" si="4"/>
        <v>-0.0375</v>
      </c>
      <c r="H45" s="188"/>
      <c r="I45" s="190"/>
    </row>
    <row r="46" spans="2:9" ht="16.5" customHeight="1">
      <c r="B46" s="181">
        <f>'NACA 4-Disit'!A50</f>
        <v>0.85</v>
      </c>
      <c r="C46" s="182">
        <f t="shared" si="0"/>
        <v>0.006796874999999999</v>
      </c>
      <c r="D46" s="183">
        <f t="shared" si="1"/>
        <v>-0.1912499999999999</v>
      </c>
      <c r="E46" s="184">
        <f t="shared" si="2"/>
        <v>0.006796874999999999</v>
      </c>
      <c r="F46" s="183">
        <f t="shared" si="3"/>
        <v>-0.04060267306501837</v>
      </c>
      <c r="G46" s="185">
        <f t="shared" si="4"/>
        <v>-0.04062499999999999</v>
      </c>
      <c r="H46" s="188"/>
      <c r="I46" s="190"/>
    </row>
    <row r="47" spans="2:9" ht="16.5" customHeight="1">
      <c r="B47" s="181">
        <f>'NACA 4-Disit'!A51</f>
        <v>0.9</v>
      </c>
      <c r="C47" s="182">
        <f t="shared" si="0"/>
        <v>0.004687499999999996</v>
      </c>
      <c r="D47" s="183">
        <f t="shared" si="1"/>
        <v>-0.22499999999999995</v>
      </c>
      <c r="E47" s="184">
        <f t="shared" si="2"/>
        <v>0.004687499999999996</v>
      </c>
      <c r="F47" s="183">
        <f t="shared" si="3"/>
        <v>-0.0437221186015876</v>
      </c>
      <c r="G47" s="185">
        <f t="shared" si="4"/>
        <v>-0.04374999999999999</v>
      </c>
      <c r="H47" s="188"/>
      <c r="I47" s="190"/>
    </row>
    <row r="48" spans="2:9" ht="16.5" customHeight="1">
      <c r="B48" s="181">
        <f>'NACA 4-Disit'!A52</f>
        <v>0.95</v>
      </c>
      <c r="C48" s="182">
        <f t="shared" si="0"/>
        <v>0.002421875</v>
      </c>
      <c r="D48" s="183">
        <f t="shared" si="1"/>
        <v>-0.2612499999999999</v>
      </c>
      <c r="E48" s="184">
        <f t="shared" si="2"/>
        <v>0.002421875</v>
      </c>
      <c r="F48" s="183">
        <f t="shared" si="3"/>
        <v>-0.04684071291596964</v>
      </c>
      <c r="G48" s="185">
        <f t="shared" si="4"/>
        <v>-0.046874999999999986</v>
      </c>
      <c r="H48" s="188"/>
      <c r="I48" s="190"/>
    </row>
    <row r="49" spans="2:9" ht="16.5" customHeight="1">
      <c r="B49" s="191">
        <f>'NACA 4-Disit'!A53</f>
        <v>1</v>
      </c>
      <c r="C49" s="192">
        <f t="shared" si="0"/>
        <v>0</v>
      </c>
      <c r="D49" s="193">
        <f t="shared" si="1"/>
        <v>-0.29999999999999993</v>
      </c>
      <c r="E49" s="194">
        <f t="shared" si="2"/>
        <v>0</v>
      </c>
      <c r="F49" s="193">
        <f t="shared" si="3"/>
        <v>-0.04995839572194275</v>
      </c>
      <c r="G49" s="195">
        <f t="shared" si="4"/>
        <v>-0.04999999999999999</v>
      </c>
      <c r="H49" s="188"/>
      <c r="I49" s="190"/>
    </row>
    <row r="50" spans="7:9" ht="16.5" customHeight="1">
      <c r="G50" s="189"/>
      <c r="H50" s="196"/>
      <c r="I50" s="190"/>
    </row>
    <row r="51" spans="7:9" ht="14.25" customHeight="1">
      <c r="G51" s="190"/>
      <c r="H51" s="196"/>
      <c r="I51" s="190"/>
    </row>
    <row r="52" spans="7:9" ht="14.25" customHeight="1">
      <c r="G52" s="190"/>
      <c r="H52" s="196"/>
      <c r="I52" s="190"/>
    </row>
    <row r="53" spans="8:9" ht="14.25" customHeight="1">
      <c r="H53" s="196"/>
      <c r="I53" s="190"/>
    </row>
  </sheetData>
  <sheetProtection password="C9DF" sheet="1" objects="1" scenarios="1"/>
  <mergeCells count="12">
    <mergeCell ref="I19:I20"/>
    <mergeCell ref="I23:I24"/>
    <mergeCell ref="I27:I28"/>
    <mergeCell ref="I31:I32"/>
    <mergeCell ref="I21:I22"/>
    <mergeCell ref="I29:I30"/>
    <mergeCell ref="I25:I26"/>
    <mergeCell ref="I41:I42"/>
    <mergeCell ref="I33:I34"/>
    <mergeCell ref="I35:I36"/>
    <mergeCell ref="I37:I38"/>
    <mergeCell ref="I39:I40"/>
  </mergeCells>
  <conditionalFormatting sqref="D24:E49">
    <cfRule type="cellIs" priority="1" dxfId="1" operator="equal" stopIfTrue="1">
      <formula>$C24</formula>
    </cfRule>
  </conditionalFormatting>
  <printOptions/>
  <pageMargins left="0.95" right="0.33" top="1.39" bottom="0.39" header="0.9" footer="0.31"/>
  <pageSetup fitToHeight="1" fitToWidth="1" horizontalDpi="600" verticalDpi="600" orientation="portrait" paperSize="9" scale="96" r:id="rId7"/>
  <headerFooter alignWithMargins="0">
    <oddHeader>&amp;C&amp;"Arial Black,標準"&amp;22NACA 4-Disit Airfoil Mean-Line</oddHeader>
  </headerFooter>
  <drawing r:id="rId6"/>
  <legacyDrawing r:id="rId5"/>
  <oleObjects>
    <oleObject progId="Equation.3" shapeId="482663" r:id="rId1"/>
    <oleObject progId="Equation.3" shapeId="482664" r:id="rId2"/>
    <oleObject progId="Equation.3" shapeId="482665" r:id="rId3"/>
    <oleObject progId="Equation.3" shapeId="48266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AOMORI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NARITA</dc:creator>
  <cp:keywords/>
  <dc:description/>
  <cp:lastModifiedBy>HOME</cp:lastModifiedBy>
  <cp:lastPrinted>2008-12-23T09:10:33Z</cp:lastPrinted>
  <dcterms:created xsi:type="dcterms:W3CDTF">2004-04-15T10:22:01Z</dcterms:created>
  <dcterms:modified xsi:type="dcterms:W3CDTF">2008-12-24T13:04:46Z</dcterms:modified>
  <cp:category/>
  <cp:version/>
  <cp:contentType/>
  <cp:contentStatus/>
</cp:coreProperties>
</file>